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arisel.barraza\Desktop\ANEXOS TT\"/>
    </mc:Choice>
  </mc:AlternateContent>
  <bookViews>
    <workbookView xWindow="0" yWindow="0" windowWidth="20400" windowHeight="7620" firstSheet="4" activeTab="4"/>
  </bookViews>
  <sheets>
    <sheet name="FLUJO puro" sheetId="4" r:id="rId1"/>
    <sheet name="FLUJO 25%" sheetId="5" r:id="rId2"/>
    <sheet name="FLUJO 50%" sheetId="6" r:id="rId3"/>
    <sheet name="FLUJO 75%" sheetId="7" r:id="rId4"/>
    <sheet name="SENSIBILIZACIÓN 75%" sheetId="10" r:id="rId5"/>
    <sheet name="INGRESOS - EGRESOS" sheetId="3" r:id="rId6"/>
    <sheet name="ACTIVOS FIJOS" sheetId="1" r:id="rId7"/>
    <sheet name="DEPRECIACIÓN" sheetId="2" r:id="rId8"/>
    <sheet name="RESUMEN INDICADORES" sheetId="8" r:id="rId9"/>
    <sheet name="SENSIBILIZACIÓN" sheetId="9" r:id="rId1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5" i="4" l="1"/>
  <c r="J60" i="10"/>
  <c r="G60" i="10"/>
  <c r="J58" i="10"/>
  <c r="G58" i="10"/>
  <c r="J57" i="10"/>
  <c r="G57" i="10"/>
  <c r="D28" i="10"/>
  <c r="C24" i="10"/>
  <c r="C23" i="10"/>
  <c r="C29" i="10" s="1"/>
  <c r="C32" i="10" s="1"/>
  <c r="E18" i="10"/>
  <c r="D18" i="10"/>
  <c r="J10" i="10"/>
  <c r="D7" i="10" s="1"/>
  <c r="E9" i="10"/>
  <c r="D9" i="10"/>
  <c r="G7" i="10"/>
  <c r="F7" i="10"/>
  <c r="E7" i="10"/>
  <c r="M6" i="10"/>
  <c r="L6" i="10"/>
  <c r="F6" i="10" s="1"/>
  <c r="F8" i="10" s="1"/>
  <c r="F15" i="10" s="1"/>
  <c r="K6" i="10"/>
  <c r="E6" i="10" s="1"/>
  <c r="E8" i="10" s="1"/>
  <c r="J6" i="10"/>
  <c r="D6" i="10" s="1"/>
  <c r="G6" i="10"/>
  <c r="G8" i="10" s="1"/>
  <c r="G15" i="10" s="1"/>
  <c r="G57" i="7"/>
  <c r="G60" i="7" s="1"/>
  <c r="K47" i="7"/>
  <c r="J58" i="7"/>
  <c r="G58" i="7"/>
  <c r="J57" i="7"/>
  <c r="J60" i="7" s="1"/>
  <c r="N19" i="1"/>
  <c r="I11" i="1"/>
  <c r="I12" i="1"/>
  <c r="I13" i="1"/>
  <c r="I14" i="1"/>
  <c r="I15" i="1"/>
  <c r="I10" i="1"/>
  <c r="H17" i="1"/>
  <c r="L23" i="7"/>
  <c r="C61" i="7" s="1"/>
  <c r="C35" i="3"/>
  <c r="J58" i="4"/>
  <c r="J57" i="4"/>
  <c r="J60" i="4" s="1"/>
  <c r="J10" i="4" s="1"/>
  <c r="D7" i="4" s="1"/>
  <c r="F52" i="3"/>
  <c r="E52" i="3"/>
  <c r="D52" i="3"/>
  <c r="C52" i="3"/>
  <c r="G57" i="4"/>
  <c r="G60" i="4"/>
  <c r="N17" i="3"/>
  <c r="O17" i="3" s="1"/>
  <c r="P17" i="3" s="1"/>
  <c r="Q17" i="3" s="1"/>
  <c r="F8" i="3"/>
  <c r="D21" i="3"/>
  <c r="D20" i="3"/>
  <c r="G58" i="4"/>
  <c r="C64" i="7"/>
  <c r="C62" i="7"/>
  <c r="G7" i="7"/>
  <c r="F7" i="7"/>
  <c r="E7" i="7"/>
  <c r="F48" i="6"/>
  <c r="F49" i="6" s="1"/>
  <c r="F46" i="6"/>
  <c r="G7" i="6"/>
  <c r="F7" i="6"/>
  <c r="E7" i="6"/>
  <c r="F48" i="5"/>
  <c r="F46" i="5"/>
  <c r="G7" i="5"/>
  <c r="F7" i="5"/>
  <c r="E7" i="5"/>
  <c r="G7" i="4"/>
  <c r="F7" i="4"/>
  <c r="E7" i="4"/>
  <c r="D43" i="3"/>
  <c r="F42" i="3"/>
  <c r="E42" i="3"/>
  <c r="G42" i="3" s="1"/>
  <c r="F41" i="3"/>
  <c r="E41" i="3"/>
  <c r="G41" i="3" s="1"/>
  <c r="F40" i="3"/>
  <c r="E40" i="3"/>
  <c r="G40" i="3" s="1"/>
  <c r="E29" i="3"/>
  <c r="G29" i="3" s="1"/>
  <c r="I29" i="3" s="1"/>
  <c r="E30" i="3"/>
  <c r="G30" i="3" s="1"/>
  <c r="I30" i="3" s="1"/>
  <c r="E28" i="3"/>
  <c r="G28" i="3" s="1"/>
  <c r="I28" i="3" s="1"/>
  <c r="C31" i="3"/>
  <c r="E31" i="3" s="1"/>
  <c r="G31" i="3" s="1"/>
  <c r="I31" i="3" s="1"/>
  <c r="D29" i="3"/>
  <c r="F29" i="3" s="1"/>
  <c r="H29" i="3" s="1"/>
  <c r="J29" i="3" s="1"/>
  <c r="D30" i="3"/>
  <c r="F30" i="3" s="1"/>
  <c r="H30" i="3" s="1"/>
  <c r="J30" i="3" s="1"/>
  <c r="D28" i="3"/>
  <c r="F28" i="3" s="1"/>
  <c r="H28" i="3" s="1"/>
  <c r="J28" i="3" s="1"/>
  <c r="G16" i="10" l="1"/>
  <c r="G17" i="10"/>
  <c r="G29" i="10" s="1"/>
  <c r="G32" i="10" s="1"/>
  <c r="G33" i="10" s="1"/>
  <c r="D8" i="10"/>
  <c r="D15" i="10" s="1"/>
  <c r="D17" i="10" s="1"/>
  <c r="C33" i="10"/>
  <c r="C34" i="10" s="1"/>
  <c r="F16" i="10"/>
  <c r="F17" i="10"/>
  <c r="F29" i="10" s="1"/>
  <c r="F32" i="10" s="1"/>
  <c r="F33" i="10" s="1"/>
  <c r="G47" i="7"/>
  <c r="L49" i="7" s="1"/>
  <c r="N18" i="3"/>
  <c r="C65" i="7"/>
  <c r="F49" i="5"/>
  <c r="F43" i="3"/>
  <c r="E43" i="3"/>
  <c r="G43" i="3"/>
  <c r="C46" i="3" s="1"/>
  <c r="D46" i="3" s="1"/>
  <c r="E46" i="3" s="1"/>
  <c r="F46" i="3" s="1"/>
  <c r="D31" i="3"/>
  <c r="E19" i="10" l="1"/>
  <c r="E12" i="10"/>
  <c r="E15" i="10" s="1"/>
  <c r="D29" i="10"/>
  <c r="D32" i="10" s="1"/>
  <c r="H52" i="7"/>
  <c r="H44" i="7"/>
  <c r="H50" i="7"/>
  <c r="H49" i="7"/>
  <c r="H48" i="7"/>
  <c r="H47" i="7"/>
  <c r="H46" i="7"/>
  <c r="H45" i="7"/>
  <c r="O18" i="3"/>
  <c r="J6" i="4"/>
  <c r="D6" i="4" s="1"/>
  <c r="F31" i="3"/>
  <c r="D33" i="10" l="1"/>
  <c r="D34" i="10" s="1"/>
  <c r="E16" i="10"/>
  <c r="E17" i="10"/>
  <c r="E29" i="10" s="1"/>
  <c r="E32" i="10" s="1"/>
  <c r="E33" i="10" s="1"/>
  <c r="K6" i="4"/>
  <c r="E6" i="4" s="1"/>
  <c r="P18" i="3"/>
  <c r="J10" i="5"/>
  <c r="D7" i="5" s="1"/>
  <c r="J10" i="6"/>
  <c r="D7" i="6" s="1"/>
  <c r="K10" i="7"/>
  <c r="D7" i="7" s="1"/>
  <c r="H31" i="3"/>
  <c r="D35" i="3"/>
  <c r="C46" i="10" l="1"/>
  <c r="K33" i="10" s="1"/>
  <c r="C45" i="10"/>
  <c r="E34" i="10"/>
  <c r="F34" i="10" s="1"/>
  <c r="G34" i="10" s="1"/>
  <c r="Q18" i="3"/>
  <c r="M6" i="4" s="1"/>
  <c r="G6" i="4" s="1"/>
  <c r="L6" i="4"/>
  <c r="F6" i="4" s="1"/>
  <c r="E35" i="3"/>
  <c r="J31" i="3"/>
  <c r="F35" i="3" s="1"/>
  <c r="C48" i="10" l="1"/>
  <c r="M33" i="10" s="1"/>
  <c r="G47" i="10"/>
  <c r="J33" i="10"/>
  <c r="F9" i="3"/>
  <c r="F10" i="3"/>
  <c r="H10" i="3" s="1"/>
  <c r="J10" i="3" s="1"/>
  <c r="F11" i="3"/>
  <c r="H11" i="3" s="1"/>
  <c r="J11" i="3" s="1"/>
  <c r="F12" i="3"/>
  <c r="H12" i="3" s="1"/>
  <c r="J12" i="3" s="1"/>
  <c r="F13" i="3"/>
  <c r="H13" i="3" s="1"/>
  <c r="J13" i="3" s="1"/>
  <c r="F14" i="3"/>
  <c r="H14" i="3" s="1"/>
  <c r="J14" i="3" s="1"/>
  <c r="F15" i="3"/>
  <c r="H15" i="3" s="1"/>
  <c r="J15" i="3" s="1"/>
  <c r="F16" i="3"/>
  <c r="H16" i="3" s="1"/>
  <c r="J16" i="3" s="1"/>
  <c r="F17" i="3"/>
  <c r="H17" i="3" s="1"/>
  <c r="J17" i="3" s="1"/>
  <c r="F18" i="3"/>
  <c r="H18" i="3" s="1"/>
  <c r="J18" i="3" s="1"/>
  <c r="F19" i="3"/>
  <c r="H19" i="3" s="1"/>
  <c r="J19" i="3" s="1"/>
  <c r="H8" i="3"/>
  <c r="D66" i="10" l="1"/>
  <c r="H50" i="10"/>
  <c r="H49" i="10"/>
  <c r="D62" i="10"/>
  <c r="H46" i="10"/>
  <c r="D65" i="10"/>
  <c r="H44" i="10"/>
  <c r="D64" i="10"/>
  <c r="H52" i="10"/>
  <c r="C63" i="10"/>
  <c r="D63" i="10" s="1"/>
  <c r="H48" i="10"/>
  <c r="H45" i="10"/>
  <c r="D61" i="10"/>
  <c r="H47" i="10"/>
  <c r="D60" i="10"/>
  <c r="F20" i="3"/>
  <c r="K6" i="7"/>
  <c r="D6" i="7" s="1"/>
  <c r="D8" i="7" s="1"/>
  <c r="J6" i="5"/>
  <c r="D6" i="5" s="1"/>
  <c r="D8" i="5" s="1"/>
  <c r="J6" i="6"/>
  <c r="D6" i="6" s="1"/>
  <c r="D8" i="6" s="1"/>
  <c r="D8" i="4"/>
  <c r="H9" i="3"/>
  <c r="H20" i="3" s="1"/>
  <c r="H21" i="3" s="1"/>
  <c r="J8" i="3"/>
  <c r="E8" i="4" l="1"/>
  <c r="F21" i="3"/>
  <c r="K6" i="6" s="1"/>
  <c r="E6" i="6" s="1"/>
  <c r="E8" i="6" s="1"/>
  <c r="L6" i="7"/>
  <c r="E6" i="7" s="1"/>
  <c r="E8" i="7" s="1"/>
  <c r="K6" i="5"/>
  <c r="E6" i="5" s="1"/>
  <c r="E8" i="5" s="1"/>
  <c r="J9" i="3"/>
  <c r="J20" i="3" s="1"/>
  <c r="J21" i="3" s="1"/>
  <c r="H11" i="1"/>
  <c r="F22" i="2" s="1"/>
  <c r="I22" i="2" s="1"/>
  <c r="J22" i="2" s="1"/>
  <c r="H12" i="1"/>
  <c r="F24" i="2" s="1"/>
  <c r="I24" i="2" s="1"/>
  <c r="J24" i="2" s="1"/>
  <c r="H13" i="1"/>
  <c r="F23" i="2" s="1"/>
  <c r="I23" i="2" s="1"/>
  <c r="J23" i="2" s="1"/>
  <c r="G11" i="1"/>
  <c r="G12" i="1"/>
  <c r="G13" i="1"/>
  <c r="G14" i="1"/>
  <c r="H14" i="1" s="1"/>
  <c r="G10" i="1"/>
  <c r="H10" i="1" s="1"/>
  <c r="F21" i="2" l="1"/>
  <c r="I21" i="2" s="1"/>
  <c r="L6" i="5"/>
  <c r="F6" i="5" s="1"/>
  <c r="F8" i="5" s="1"/>
  <c r="M6" i="7"/>
  <c r="F6" i="7" s="1"/>
  <c r="F8" i="7" s="1"/>
  <c r="L6" i="6"/>
  <c r="F6" i="6" s="1"/>
  <c r="F8" i="6" s="1"/>
  <c r="D24" i="1"/>
  <c r="D26" i="1" s="1"/>
  <c r="I16" i="1"/>
  <c r="C24" i="4" s="1"/>
  <c r="C23" i="4"/>
  <c r="H15" i="1"/>
  <c r="H16" i="1" s="1"/>
  <c r="L7" i="3"/>
  <c r="I17" i="1" l="1"/>
  <c r="M17" i="1" s="1"/>
  <c r="C24" i="5"/>
  <c r="C24" i="6"/>
  <c r="C24" i="7"/>
  <c r="M6" i="6"/>
  <c r="G6" i="6" s="1"/>
  <c r="G8" i="6" s="1"/>
  <c r="N6" i="7"/>
  <c r="G6" i="7" s="1"/>
  <c r="G8" i="7" s="1"/>
  <c r="M6" i="5"/>
  <c r="G6" i="5" s="1"/>
  <c r="G8" i="5" s="1"/>
  <c r="F8" i="4"/>
  <c r="F15" i="4" s="1"/>
  <c r="F16" i="4" s="1"/>
  <c r="F17" i="4" s="1"/>
  <c r="F29" i="4" s="1"/>
  <c r="F32" i="4" s="1"/>
  <c r="F33" i="4" s="1"/>
  <c r="J21" i="2"/>
  <c r="I25" i="2"/>
  <c r="D28" i="4"/>
  <c r="D28" i="7"/>
  <c r="D28" i="6"/>
  <c r="D28" i="5"/>
  <c r="C23" i="7"/>
  <c r="F8" i="2"/>
  <c r="F10" i="2" s="1"/>
  <c r="F11" i="2" s="1"/>
  <c r="F12" i="2" s="1"/>
  <c r="F14" i="2" s="1"/>
  <c r="C23" i="5"/>
  <c r="C29" i="5" s="1"/>
  <c r="C23" i="6"/>
  <c r="C29" i="4"/>
  <c r="C32" i="4" s="1"/>
  <c r="G8" i="4" l="1"/>
  <c r="G15" i="4" s="1"/>
  <c r="G16" i="4" s="1"/>
  <c r="G17" i="4" s="1"/>
  <c r="G29" i="4" s="1"/>
  <c r="G32" i="4" s="1"/>
  <c r="G33" i="4" s="1"/>
  <c r="C30" i="5"/>
  <c r="F41" i="5" s="1"/>
  <c r="C29" i="6"/>
  <c r="D9" i="5"/>
  <c r="D9" i="6"/>
  <c r="D18" i="7"/>
  <c r="D18" i="5"/>
  <c r="D9" i="7"/>
  <c r="D18" i="6"/>
  <c r="D9" i="4"/>
  <c r="D15" i="4" s="1"/>
  <c r="D17" i="4" s="1"/>
  <c r="J25" i="2"/>
  <c r="D18" i="4"/>
  <c r="C29" i="7"/>
  <c r="C33" i="4"/>
  <c r="C34" i="4" s="1"/>
  <c r="E19" i="4" l="1"/>
  <c r="E12" i="4"/>
  <c r="D29" i="4"/>
  <c r="D32" i="4" s="1"/>
  <c r="C30" i="6"/>
  <c r="F41" i="6" s="1"/>
  <c r="C32" i="6"/>
  <c r="F44" i="5"/>
  <c r="K43" i="5" s="1"/>
  <c r="J42" i="5"/>
  <c r="K44" i="5" s="1"/>
  <c r="D10" i="5" s="1"/>
  <c r="D15" i="5" s="1"/>
  <c r="E9" i="7"/>
  <c r="E18" i="6"/>
  <c r="E18" i="7"/>
  <c r="E18" i="5"/>
  <c r="E9" i="5"/>
  <c r="E9" i="6"/>
  <c r="E9" i="4"/>
  <c r="E18" i="4"/>
  <c r="C32" i="5"/>
  <c r="C30" i="7"/>
  <c r="C57" i="7" s="1"/>
  <c r="C32" i="7"/>
  <c r="D33" i="4" l="1"/>
  <c r="D34" i="4" s="1"/>
  <c r="E15" i="4"/>
  <c r="E16" i="4" s="1"/>
  <c r="E17" i="4" s="1"/>
  <c r="E29" i="4" s="1"/>
  <c r="E32" i="4" s="1"/>
  <c r="G47" i="4" s="1"/>
  <c r="L43" i="5"/>
  <c r="K45" i="5"/>
  <c r="C33" i="7"/>
  <c r="C34" i="7" s="1"/>
  <c r="C33" i="6"/>
  <c r="C34" i="6" s="1"/>
  <c r="F44" i="6"/>
  <c r="K43" i="6" s="1"/>
  <c r="J42" i="6"/>
  <c r="C60" i="7"/>
  <c r="L29" i="7" s="1"/>
  <c r="K28" i="7"/>
  <c r="D17" i="5"/>
  <c r="C33" i="5"/>
  <c r="C34" i="5" s="1"/>
  <c r="E12" i="5" l="1"/>
  <c r="E19" i="5"/>
  <c r="C46" i="4"/>
  <c r="L30" i="7"/>
  <c r="D10" i="7" s="1"/>
  <c r="D15" i="7" s="1"/>
  <c r="D17" i="7" s="1"/>
  <c r="K44" i="6"/>
  <c r="D10" i="6" s="1"/>
  <c r="D15" i="6" s="1"/>
  <c r="M29" i="7"/>
  <c r="L43" i="6"/>
  <c r="K46" i="5"/>
  <c r="K42" i="5" s="1"/>
  <c r="D21" i="5"/>
  <c r="D29" i="5" s="1"/>
  <c r="D32" i="5" s="1"/>
  <c r="M43" i="5"/>
  <c r="E33" i="4"/>
  <c r="E34" i="4" s="1"/>
  <c r="F34" i="4" s="1"/>
  <c r="G34" i="4" s="1"/>
  <c r="L31" i="7" l="1"/>
  <c r="D21" i="7" s="1"/>
  <c r="K45" i="6"/>
  <c r="D21" i="6" s="1"/>
  <c r="E19" i="7"/>
  <c r="E12" i="7"/>
  <c r="C63" i="4"/>
  <c r="D63" i="4" s="1"/>
  <c r="C48" i="4"/>
  <c r="D66" i="4"/>
  <c r="D61" i="4"/>
  <c r="D29" i="7"/>
  <c r="D32" i="7" s="1"/>
  <c r="D33" i="5"/>
  <c r="D34" i="5" s="1"/>
  <c r="D17" i="6"/>
  <c r="K46" i="6"/>
  <c r="K42" i="6" s="1"/>
  <c r="L44" i="5"/>
  <c r="L32" i="7"/>
  <c r="L28" i="7" s="1"/>
  <c r="K33" i="4"/>
  <c r="G14" i="8"/>
  <c r="N29" i="7"/>
  <c r="N43" i="5"/>
  <c r="J33" i="4"/>
  <c r="F14" i="8"/>
  <c r="M43" i="6"/>
  <c r="D65" i="4" l="1"/>
  <c r="D62" i="4"/>
  <c r="D64" i="4"/>
  <c r="D33" i="7"/>
  <c r="D34" i="7" s="1"/>
  <c r="H44" i="4"/>
  <c r="H52" i="4"/>
  <c r="D60" i="4"/>
  <c r="E12" i="6"/>
  <c r="E19" i="6"/>
  <c r="D29" i="6"/>
  <c r="D32" i="6" s="1"/>
  <c r="D33" i="6" s="1"/>
  <c r="D34" i="6" s="1"/>
  <c r="N43" i="6"/>
  <c r="O29" i="7"/>
  <c r="H48" i="4"/>
  <c r="H47" i="4"/>
  <c r="H45" i="4"/>
  <c r="H49" i="4"/>
  <c r="H46" i="4"/>
  <c r="H50" i="4"/>
  <c r="E10" i="5"/>
  <c r="E15" i="5" s="1"/>
  <c r="L45" i="5"/>
  <c r="I14" i="8"/>
  <c r="M33" i="4"/>
  <c r="M30" i="7"/>
  <c r="L44" i="6"/>
  <c r="E16" i="5" l="1"/>
  <c r="E17" i="5" s="1"/>
  <c r="E10" i="6"/>
  <c r="E15" i="6" s="1"/>
  <c r="L45" i="6"/>
  <c r="E10" i="7"/>
  <c r="E15" i="7" s="1"/>
  <c r="E16" i="7" s="1"/>
  <c r="E17" i="7" s="1"/>
  <c r="M31" i="7"/>
  <c r="E21" i="5"/>
  <c r="L46" i="5"/>
  <c r="L42" i="5" s="1"/>
  <c r="M44" i="5" s="1"/>
  <c r="E29" i="5" l="1"/>
  <c r="E32" i="5" s="1"/>
  <c r="E33" i="5" s="1"/>
  <c r="E34" i="5" s="1"/>
  <c r="E16" i="6"/>
  <c r="E17" i="6"/>
  <c r="E21" i="7"/>
  <c r="E29" i="7" s="1"/>
  <c r="E32" i="7" s="1"/>
  <c r="M32" i="7"/>
  <c r="M28" i="7" s="1"/>
  <c r="E21" i="6"/>
  <c r="L46" i="6"/>
  <c r="L42" i="6" s="1"/>
  <c r="F10" i="5"/>
  <c r="F15" i="5" s="1"/>
  <c r="M45" i="5"/>
  <c r="E29" i="6" l="1"/>
  <c r="E32" i="6" s="1"/>
  <c r="E33" i="7"/>
  <c r="E34" i="7" s="1"/>
  <c r="N30" i="7"/>
  <c r="F16" i="5"/>
  <c r="F17" i="5" s="1"/>
  <c r="E33" i="6"/>
  <c r="E34" i="6" s="1"/>
  <c r="M46" i="5"/>
  <c r="M42" i="5" s="1"/>
  <c r="N44" i="5" s="1"/>
  <c r="F21" i="5"/>
  <c r="M44" i="6"/>
  <c r="F29" i="5" l="1"/>
  <c r="F32" i="5" s="1"/>
  <c r="F10" i="6"/>
  <c r="F15" i="6" s="1"/>
  <c r="F16" i="6" s="1"/>
  <c r="F17" i="6" s="1"/>
  <c r="M45" i="6"/>
  <c r="F10" i="7"/>
  <c r="F15" i="7" s="1"/>
  <c r="F16" i="7" s="1"/>
  <c r="F17" i="7" s="1"/>
  <c r="N31" i="7"/>
  <c r="F33" i="5"/>
  <c r="F34" i="5" s="1"/>
  <c r="G10" i="5"/>
  <c r="G15" i="5" s="1"/>
  <c r="G16" i="5" s="1"/>
  <c r="G17" i="5" s="1"/>
  <c r="N45" i="5"/>
  <c r="F21" i="7" l="1"/>
  <c r="N32" i="7"/>
  <c r="N28" i="7" s="1"/>
  <c r="F21" i="6"/>
  <c r="F29" i="6" s="1"/>
  <c r="F32" i="6" s="1"/>
  <c r="M46" i="6"/>
  <c r="M42" i="6" s="1"/>
  <c r="F29" i="7"/>
  <c r="F32" i="7" s="1"/>
  <c r="N46" i="5"/>
  <c r="N42" i="5" s="1"/>
  <c r="G21" i="5"/>
  <c r="G29" i="5" s="1"/>
  <c r="G32" i="5" s="1"/>
  <c r="F33" i="6" l="1"/>
  <c r="F34" i="6" s="1"/>
  <c r="G33" i="5"/>
  <c r="G34" i="5" s="1"/>
  <c r="C45" i="5"/>
  <c r="C48" i="5" s="1"/>
  <c r="C46" i="5"/>
  <c r="O30" i="7"/>
  <c r="F33" i="7"/>
  <c r="F34" i="7" s="1"/>
  <c r="N44" i="6"/>
  <c r="K50" i="5" l="1"/>
  <c r="G15" i="8"/>
  <c r="G10" i="7"/>
  <c r="G15" i="7" s="1"/>
  <c r="O31" i="7"/>
  <c r="F15" i="8"/>
  <c r="J50" i="5"/>
  <c r="G10" i="6"/>
  <c r="G15" i="6" s="1"/>
  <c r="N45" i="6"/>
  <c r="G16" i="6" l="1"/>
  <c r="G17" i="6" s="1"/>
  <c r="M50" i="5"/>
  <c r="I15" i="8"/>
  <c r="G21" i="7"/>
  <c r="O32" i="7"/>
  <c r="O28" i="7" s="1"/>
  <c r="G16" i="7"/>
  <c r="G17" i="7" s="1"/>
  <c r="G29" i="7" s="1"/>
  <c r="G32" i="7" s="1"/>
  <c r="G21" i="6"/>
  <c r="N46" i="6"/>
  <c r="N42" i="6" s="1"/>
  <c r="C45" i="7" l="1"/>
  <c r="C48" i="7" s="1"/>
  <c r="C46" i="7"/>
  <c r="G29" i="6"/>
  <c r="G32" i="6" s="1"/>
  <c r="G33" i="7"/>
  <c r="G34" i="7" s="1"/>
  <c r="G33" i="6"/>
  <c r="G34" i="6" s="1"/>
  <c r="C46" i="6"/>
  <c r="C45" i="6"/>
  <c r="C48" i="6" s="1"/>
  <c r="K50" i="6" l="1"/>
  <c r="G16" i="8"/>
  <c r="F16" i="8"/>
  <c r="J50" i="6"/>
  <c r="L36" i="7"/>
  <c r="G17" i="8"/>
  <c r="F17" i="8"/>
  <c r="K36" i="7"/>
  <c r="L50" i="7" l="1"/>
  <c r="L44" i="7"/>
  <c r="L45" i="7"/>
  <c r="L48" i="7"/>
  <c r="L47" i="7"/>
  <c r="L46" i="7"/>
  <c r="M50" i="6"/>
  <c r="I16" i="8"/>
  <c r="N36" i="7"/>
  <c r="I17" i="8"/>
</calcChain>
</file>

<file path=xl/comments1.xml><?xml version="1.0" encoding="utf-8"?>
<comments xmlns="http://schemas.openxmlformats.org/spreadsheetml/2006/main">
  <authors>
    <author>tc={643064FA-01A7-B746-BC34-F0C26EDA4D42}</author>
    <author>tc={B09B29A4-2EAD-6148-AD1D-F0C0C0E054DF}</author>
    <author>tc={612975CF-87B8-6C4E-87D6-12C44A70EC39}</author>
    <author>tc={8F75BAF9-3B33-FA4F-8CB9-2557B87FB7C5}</author>
  </authors>
  <commentList>
    <comment ref="D27" authorId="0" shapeId="0">
      <text>
        <r>
          <rPr>
            <sz val="12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VALOR UF AL 14.11.2023 36.486</t>
        </r>
      </text>
    </comment>
    <comment ref="F27" authorId="1" shapeId="0">
      <text>
        <r>
          <rPr>
            <sz val="12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VALOR UF AL 14.11.2023 36.486</t>
        </r>
      </text>
    </comment>
    <comment ref="H27" authorId="2" shapeId="0">
      <text>
        <r>
          <rPr>
            <sz val="12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VALOR UF AL 14.11.2023 36.486</t>
        </r>
      </text>
    </comment>
    <comment ref="J27" authorId="3" shapeId="0">
      <text>
        <r>
          <rPr>
            <sz val="12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VALOR UF AL 14.11.2023 36.486</t>
        </r>
      </text>
    </comment>
  </commentList>
</comments>
</file>

<file path=xl/sharedStrings.xml><?xml version="1.0" encoding="utf-8"?>
<sst xmlns="http://schemas.openxmlformats.org/spreadsheetml/2006/main" count="580" uniqueCount="171">
  <si>
    <t>IMPUESTO A LA RENTA</t>
  </si>
  <si>
    <t>INGRESOS PROYECTADOS EN AHORROS</t>
  </si>
  <si>
    <t>Año 0</t>
  </si>
  <si>
    <t>AÑO 1</t>
  </si>
  <si>
    <t>AÑO 2</t>
  </si>
  <si>
    <t>AÑO 3</t>
  </si>
  <si>
    <t>AÑO 4</t>
  </si>
  <si>
    <t>Ingresos</t>
  </si>
  <si>
    <t>Egresos</t>
  </si>
  <si>
    <t>Utilidad Operacional</t>
  </si>
  <si>
    <t>EGRESOS (COSTOS VARIABLES + COSTOS FIJOS)</t>
  </si>
  <si>
    <t>Depreciación</t>
  </si>
  <si>
    <t>Intereses Crédito Largo Plazo</t>
  </si>
  <si>
    <t>Intereses Crédito Corto Plazo</t>
  </si>
  <si>
    <t>Pérdida Ejercicio Anterior</t>
  </si>
  <si>
    <t>Venta de Activo</t>
  </si>
  <si>
    <t>Valor Libro</t>
  </si>
  <si>
    <t>Utilidad Antes de Impuestos</t>
  </si>
  <si>
    <t>Impuestos</t>
  </si>
  <si>
    <t>Utilidad Despues de Impuestos</t>
  </si>
  <si>
    <t>Amortización Crédito Largo Plazo</t>
  </si>
  <si>
    <t>Amortización Crédito Corto Plazo</t>
  </si>
  <si>
    <t>Inversión Activos Fijos</t>
  </si>
  <si>
    <t>Inversión en Intangibles, Puesta en Marcha e imprevistos</t>
  </si>
  <si>
    <t>Inversión en Capital de Trabajo</t>
  </si>
  <si>
    <t>Recuperación Capital de Trabajo</t>
  </si>
  <si>
    <t>Valor de Desecho del proyecto</t>
  </si>
  <si>
    <t>Recuperación de IVA</t>
  </si>
  <si>
    <t>Flujo Antes de Financiamiento</t>
  </si>
  <si>
    <t>Crédito Largo Plazo</t>
  </si>
  <si>
    <t>Crédito Corto Plazo</t>
  </si>
  <si>
    <t>FINANCIAMIENTO PROPIO (PURO)</t>
  </si>
  <si>
    <t>Flujo Despues de Financiamiento</t>
  </si>
  <si>
    <t>VAN</t>
  </si>
  <si>
    <t>TIR</t>
  </si>
  <si>
    <t>PRI</t>
  </si>
  <si>
    <t>IVAN</t>
  </si>
  <si>
    <t>Flujo Despues de Financiamiento Actualizado</t>
  </si>
  <si>
    <t>Flujo Despues de Financiamiento Actualizado Acumulado</t>
  </si>
  <si>
    <t>Tasa de descuento CAPM</t>
  </si>
  <si>
    <t>Tasa libre de riego</t>
  </si>
  <si>
    <t>Tasa de mercado</t>
  </si>
  <si>
    <t>VARIACIÓN VARIABLE A SENSIBILIZAR</t>
  </si>
  <si>
    <t>Beta</t>
  </si>
  <si>
    <t>VARIACIÓN INGRESOS</t>
  </si>
  <si>
    <t>Var. VAN</t>
  </si>
  <si>
    <t>VARIACION REMUNERACIONES</t>
  </si>
  <si>
    <t>Variación Costo Variables</t>
  </si>
  <si>
    <t>Variación Costo Fijos</t>
  </si>
  <si>
    <t xml:space="preserve">Variación dólar </t>
  </si>
  <si>
    <t>REMUNERACIONES</t>
  </si>
  <si>
    <t>Demanda</t>
  </si>
  <si>
    <t>TASA VARIACIÓN</t>
  </si>
  <si>
    <t>VARIACIÓN EGRESOS</t>
  </si>
  <si>
    <t>TASA CRECIMIENTO</t>
  </si>
  <si>
    <t>% Financiamiento</t>
  </si>
  <si>
    <t>AMORTIZACION</t>
  </si>
  <si>
    <t>Monto Financiamento</t>
  </si>
  <si>
    <t>AÑO 0</t>
  </si>
  <si>
    <t>Interés LP</t>
  </si>
  <si>
    <t>CAPITAL</t>
  </si>
  <si>
    <t>Plazo</t>
  </si>
  <si>
    <t>CUOTA</t>
  </si>
  <si>
    <t>Cuota</t>
  </si>
  <si>
    <t>INTERES</t>
  </si>
  <si>
    <t>Interés CP</t>
  </si>
  <si>
    <t>AMORTIZACIÓN</t>
  </si>
  <si>
    <t>% Financiamiento Propio</t>
  </si>
  <si>
    <t>SALDO</t>
  </si>
  <si>
    <t>FINANCIAMIENTO 25%</t>
  </si>
  <si>
    <t>Tasa de descuento WACC</t>
  </si>
  <si>
    <t>Variación Precio</t>
  </si>
  <si>
    <t>Variación Demanda</t>
  </si>
  <si>
    <t>FINANCIAMIENTO 50%</t>
  </si>
  <si>
    <t>CRÉDITO CP a 90 días (k=90)</t>
  </si>
  <si>
    <t>C</t>
  </si>
  <si>
    <t>d</t>
  </si>
  <si>
    <t>t</t>
  </si>
  <si>
    <t>k</t>
  </si>
  <si>
    <t>D</t>
  </si>
  <si>
    <t>FINANCIAMIENTO 75%</t>
  </si>
  <si>
    <t>VAR. INGRESOS</t>
  </si>
  <si>
    <t>INGRESOS</t>
  </si>
  <si>
    <t>VAR. EGRESOS</t>
  </si>
  <si>
    <t>AHORRO APROXIMADO PROYECTO A 4 AÑOS (VARIACIÓN PROMEDIO DEL 14%)</t>
  </si>
  <si>
    <t>AHORRO APP PROYECTO A 4 AÑOS</t>
  </si>
  <si>
    <t>ENERO</t>
  </si>
  <si>
    <t>FEBRERO</t>
  </si>
  <si>
    <t>UF</t>
  </si>
  <si>
    <t>MARZO</t>
  </si>
  <si>
    <t>considerar costos variables agua y liuz</t>
  </si>
  <si>
    <t>ABRIL</t>
  </si>
  <si>
    <t>egresos con remuneraciones</t>
  </si>
  <si>
    <t>MAYO</t>
  </si>
  <si>
    <t>considerar prima por riesgo en tgasa de descuento</t>
  </si>
  <si>
    <t>JUNIO</t>
  </si>
  <si>
    <t>JULIO</t>
  </si>
  <si>
    <t>AGOSTO</t>
  </si>
  <si>
    <t>SEPTIEMBRE</t>
  </si>
  <si>
    <t>OCTUBRE</t>
  </si>
  <si>
    <t>NOVIEMBRE</t>
  </si>
  <si>
    <t>DICIEMBRE</t>
  </si>
  <si>
    <t>Base para sensibilizacion</t>
  </si>
  <si>
    <t>TOTAL AÑO 1</t>
  </si>
  <si>
    <t>TOTAL AÑO 2</t>
  </si>
  <si>
    <t>TOTAL AÑO 3</t>
  </si>
  <si>
    <t>TOTAL AÑO 4</t>
  </si>
  <si>
    <t>TOTAL AÑO1 UF</t>
  </si>
  <si>
    <t>TOTAL AÑO 2 UF</t>
  </si>
  <si>
    <t>TOTAL AÑO 3 UF</t>
  </si>
  <si>
    <t>TOTAL AÑO 4 UF</t>
  </si>
  <si>
    <t>COSTOS FIJOS REMUNERACIONES (REAJUSTE ANUAL POR IPC PROMEDIO DE 4,72%)</t>
  </si>
  <si>
    <t xml:space="preserve">REMUNERACÓN BRUTA MENSUAL </t>
  </si>
  <si>
    <t>EN PESOS</t>
  </si>
  <si>
    <t>EN UF</t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</si>
  <si>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Calibri"/>
        <family val="2"/>
      </rPr>
      <t>Developer engeneer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</si>
  <si>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Calibri"/>
        <family val="2"/>
      </rPr>
      <t>Integration Technician</t>
    </r>
  </si>
  <si>
    <r>
      <t>o</t>
    </r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Calibri"/>
        <family val="2"/>
      </rPr>
      <t>Solution Architect</t>
    </r>
  </si>
  <si>
    <t>TOTAL</t>
  </si>
  <si>
    <t>COSTOS FIJOS (REMUNERACIONES + REAJUSTE DE IPC ANUAL)</t>
  </si>
  <si>
    <t>COSTOS FIJOS SERVICIOS</t>
  </si>
  <si>
    <t>REAJUSTE ANUAL COSTOS FIJOS</t>
  </si>
  <si>
    <t>MES S/IVA</t>
  </si>
  <si>
    <t>MES C/IVA</t>
  </si>
  <si>
    <t>AÑO S/IVA</t>
  </si>
  <si>
    <t>AÑO C/IVA</t>
  </si>
  <si>
    <t>INTERNET</t>
  </si>
  <si>
    <t>LUZ</t>
  </si>
  <si>
    <t>AGUA</t>
  </si>
  <si>
    <t xml:space="preserve">TOTAL EGRESOS </t>
  </si>
  <si>
    <t>Activos Fijos</t>
  </si>
  <si>
    <t>Detalle</t>
  </si>
  <si>
    <t>Cantidad</t>
  </si>
  <si>
    <t>Valor Unitario (Sin Iva)</t>
  </si>
  <si>
    <t>Valor Unitario (Con Iva)</t>
  </si>
  <si>
    <t>Total (Con Iva)</t>
  </si>
  <si>
    <t>TOTAL UF (36.583,34)</t>
  </si>
  <si>
    <t>Laptop Lenovo X1 Carbon</t>
  </si>
  <si>
    <t>Monitor Pantalla plana Samsung</t>
  </si>
  <si>
    <t>Smartphone Samsung a54 5G (Equipo costo 0 con plan Entel)</t>
  </si>
  <si>
    <t>Escritorio Ikea</t>
  </si>
  <si>
    <t>Silla Ikea</t>
  </si>
  <si>
    <t>*VALOR DE UF AL DÌA 04.12.2023*</t>
  </si>
  <si>
    <t>IMPREVISTOS (25%)</t>
  </si>
  <si>
    <t>uf al 4 del 12</t>
  </si>
  <si>
    <t>TOTAL C/IMPREVISTOS</t>
  </si>
  <si>
    <t>EGRESOS INVERSIONES AÑO 0</t>
  </si>
  <si>
    <t>EGRESO POR IVA</t>
  </si>
  <si>
    <t>Índice</t>
  </si>
  <si>
    <t>Valor en UF</t>
  </si>
  <si>
    <t>(+) Valor Comercial</t>
  </si>
  <si>
    <t>(-) Valor Contable</t>
  </si>
  <si>
    <t>(=) Utilidad antes de impuestos</t>
  </si>
  <si>
    <t>(-) Impuestos</t>
  </si>
  <si>
    <t>(=) Unidad Neta</t>
  </si>
  <si>
    <t>(+) Valor Contable</t>
  </si>
  <si>
    <t>(=) Valor Residual</t>
  </si>
  <si>
    <t>Inversiones</t>
  </si>
  <si>
    <t>Vida útil (Años)</t>
  </si>
  <si>
    <t>Depreciación Acelerada</t>
  </si>
  <si>
    <t>Período 1 (UF)</t>
  </si>
  <si>
    <t>Período 2 (UF)</t>
  </si>
  <si>
    <t>Laptop</t>
  </si>
  <si>
    <t>Monitor</t>
  </si>
  <si>
    <t>Mobiliario</t>
  </si>
  <si>
    <t>Teléfono Móvil</t>
  </si>
  <si>
    <t>FINANCIAMIENTO</t>
  </si>
  <si>
    <t>VAN (UF)</t>
  </si>
  <si>
    <t>TIR (%)</t>
  </si>
  <si>
    <t>PRI (AÑO)</t>
  </si>
  <si>
    <t>PROPIO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</si>
</sst>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8" formatCode="&quot;$&quot;#,##0.00;[Red]&quot;$&quot;\-#,##0.00"/>
    <numFmt numFmtId="164" formatCode="_-&quot;$&quot;* #,##0_-;\-&quot;$&quot;* #,##0_-;_-&quot;$&quot;* &quot;-&quot;_-;_-@_-"/>
    <numFmt numFmtId="165" formatCode="_-&quot;$&quot;* #,##0.00_-;\-&quot;$&quot;* #,##0.00_-;_-&quot;$&quot;* &quot;-&quot;??_-;_-@_-"/>
    <numFmt numFmtId="166" formatCode="&quot;$&quot;#,##0"/>
    <numFmt numFmtId="167" formatCode="0.0"/>
    <numFmt numFmtId="168" formatCode="_ &quot;$&quot;* #,##0.00_ ;_ &quot;$&quot;* \-#,##0.00_ ;_ &quot;$&quot;* &quot;-&quot;_ ;_ @_ "/>
    <numFmt numFmtId="169" formatCode="0.000%"/>
    <numFmt numFmtId="170" formatCode="0.0%"/>
  </numFmts>
  <fonts count="32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9C0006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7"/>
      <color theme="1"/>
      <name val="Times New Roman"/>
      <family val="1"/>
    </font>
    <font>
      <sz val="12"/>
      <color theme="1"/>
      <name val="Calibri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Century Gothic"/>
      <family val="2"/>
    </font>
    <font>
      <sz val="12"/>
      <color rgb="FFFF0000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b/>
      <sz val="9"/>
      <color theme="0"/>
      <name val="Century Gothic"/>
      <family val="2"/>
    </font>
    <font>
      <sz val="9"/>
      <color theme="1"/>
      <name val="Century Gothic"/>
      <family val="2"/>
    </font>
    <font>
      <sz val="9"/>
      <color theme="1"/>
      <name val="Calibri"/>
      <family val="2"/>
      <scheme val="minor"/>
    </font>
    <font>
      <sz val="9"/>
      <color rgb="FFFF0000"/>
      <name val="Century Gothic"/>
      <family val="2"/>
    </font>
    <font>
      <sz val="11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B8DCE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CCCCCC"/>
      </left>
      <right style="medium">
        <color rgb="FF505050"/>
      </right>
      <top style="medium">
        <color rgb="FFCCCCCC"/>
      </top>
      <bottom style="medium">
        <color rgb="FF50505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505050"/>
      </bottom>
      <diagonal/>
    </border>
    <border>
      <left style="medium">
        <color rgb="FFCCCCCC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rgb="FF000000"/>
      </left>
      <right style="medium">
        <color rgb="FF50505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rgb="FF505050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505050"/>
      </bottom>
      <diagonal/>
    </border>
    <border>
      <left/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5" fillId="9" borderId="0" applyNumberFormat="0" applyBorder="0" applyAlignment="0" applyProtection="0"/>
    <xf numFmtId="0" fontId="1" fillId="10" borderId="0" applyNumberFormat="0" applyBorder="0" applyAlignment="0" applyProtection="0"/>
  </cellStyleXfs>
  <cellXfs count="3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0" xfId="0" applyBorder="1" applyAlignment="1">
      <alignment vertical="center" wrapText="1"/>
    </xf>
    <xf numFmtId="0" fontId="0" fillId="0" borderId="21" xfId="0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11" borderId="23" xfId="0" applyFont="1" applyFill="1" applyBorder="1" applyAlignment="1">
      <alignment horizontal="center" wrapText="1"/>
    </xf>
    <xf numFmtId="166" fontId="0" fillId="11" borderId="12" xfId="0" applyNumberFormat="1" applyFill="1" applyBorder="1" applyAlignment="1">
      <alignment horizontal="center" vertical="center"/>
    </xf>
    <xf numFmtId="166" fontId="0" fillId="11" borderId="13" xfId="0" applyNumberFormat="1" applyFill="1" applyBorder="1" applyAlignment="1">
      <alignment horizontal="center" vertical="center"/>
    </xf>
    <xf numFmtId="166" fontId="0" fillId="11" borderId="14" xfId="0" applyNumberFormat="1" applyFill="1" applyBorder="1" applyAlignment="1">
      <alignment horizontal="center" vertical="center"/>
    </xf>
    <xf numFmtId="0" fontId="4" fillId="12" borderId="22" xfId="0" applyFont="1" applyFill="1" applyBorder="1" applyAlignment="1">
      <alignment horizontal="center" wrapText="1"/>
    </xf>
    <xf numFmtId="166" fontId="0" fillId="12" borderId="18" xfId="0" applyNumberFormat="1" applyFill="1" applyBorder="1" applyAlignment="1">
      <alignment horizontal="center" vertical="center"/>
    </xf>
    <xf numFmtId="166" fontId="0" fillId="12" borderId="20" xfId="0" applyNumberFormat="1" applyFill="1" applyBorder="1" applyAlignment="1">
      <alignment horizontal="center" vertical="center"/>
    </xf>
    <xf numFmtId="166" fontId="0" fillId="12" borderId="21" xfId="0" applyNumberFormat="1" applyFill="1" applyBorder="1" applyAlignment="1">
      <alignment horizontal="center" vertical="center"/>
    </xf>
    <xf numFmtId="0" fontId="4" fillId="13" borderId="25" xfId="0" applyFont="1" applyFill="1" applyBorder="1"/>
    <xf numFmtId="0" fontId="4" fillId="14" borderId="22" xfId="0" applyFont="1" applyFill="1" applyBorder="1" applyAlignment="1">
      <alignment horizontal="center" vertical="center"/>
    </xf>
    <xf numFmtId="166" fontId="0" fillId="13" borderId="12" xfId="0" applyNumberFormat="1" applyFill="1" applyBorder="1" applyAlignment="1">
      <alignment horizontal="center" vertical="center"/>
    </xf>
    <xf numFmtId="166" fontId="0" fillId="13" borderId="13" xfId="0" applyNumberFormat="1" applyFill="1" applyBorder="1" applyAlignment="1">
      <alignment horizontal="center" vertical="center"/>
    </xf>
    <xf numFmtId="166" fontId="0" fillId="13" borderId="14" xfId="0" applyNumberFormat="1" applyFill="1" applyBorder="1" applyAlignment="1">
      <alignment horizontal="center" vertical="center"/>
    </xf>
    <xf numFmtId="0" fontId="4" fillId="0" borderId="23" xfId="0" applyFont="1" applyBorder="1" applyAlignment="1">
      <alignment horizontal="center" vertical="center" wrapText="1"/>
    </xf>
    <xf numFmtId="166" fontId="0" fillId="13" borderId="29" xfId="0" applyNumberFormat="1" applyFill="1" applyBorder="1" applyAlignment="1">
      <alignment horizontal="center" vertical="center"/>
    </xf>
    <xf numFmtId="2" fontId="0" fillId="0" borderId="0" xfId="0" applyNumberFormat="1"/>
    <xf numFmtId="167" fontId="0" fillId="0" borderId="0" xfId="0" applyNumberFormat="1"/>
    <xf numFmtId="0" fontId="0" fillId="0" borderId="1" xfId="0" applyBorder="1" applyAlignment="1">
      <alignment horizontal="center"/>
    </xf>
    <xf numFmtId="0" fontId="8" fillId="0" borderId="35" xfId="0" applyFont="1" applyBorder="1"/>
    <xf numFmtId="0" fontId="8" fillId="0" borderId="13" xfId="0" applyFont="1" applyBorder="1"/>
    <xf numFmtId="0" fontId="8" fillId="0" borderId="14" xfId="0" applyFont="1" applyBorder="1"/>
    <xf numFmtId="0" fontId="8" fillId="0" borderId="30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167" fontId="8" fillId="0" borderId="20" xfId="0" applyNumberFormat="1" applyFont="1" applyBorder="1" applyAlignment="1">
      <alignment horizontal="center"/>
    </xf>
    <xf numFmtId="167" fontId="8" fillId="0" borderId="21" xfId="0" applyNumberFormat="1" applyFont="1" applyBorder="1" applyAlignment="1">
      <alignment horizontal="center"/>
    </xf>
    <xf numFmtId="0" fontId="7" fillId="12" borderId="26" xfId="0" applyFont="1" applyFill="1" applyBorder="1" applyAlignment="1">
      <alignment horizontal="center"/>
    </xf>
    <xf numFmtId="0" fontId="7" fillId="12" borderId="2" xfId="0" applyFont="1" applyFill="1" applyBorder="1" applyAlignment="1">
      <alignment horizontal="center"/>
    </xf>
    <xf numFmtId="0" fontId="9" fillId="3" borderId="13" xfId="4" applyFont="1" applyBorder="1"/>
    <xf numFmtId="167" fontId="9" fillId="3" borderId="20" xfId="4" applyNumberFormat="1" applyFont="1" applyBorder="1" applyAlignment="1">
      <alignment horizontal="center"/>
    </xf>
    <xf numFmtId="0" fontId="11" fillId="4" borderId="14" xfId="5" applyFont="1" applyBorder="1"/>
    <xf numFmtId="167" fontId="11" fillId="4" borderId="21" xfId="5" applyNumberFormat="1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8" fillId="0" borderId="38" xfId="0" applyFont="1" applyBorder="1" applyAlignment="1">
      <alignment horizontal="center"/>
    </xf>
    <xf numFmtId="0" fontId="8" fillId="0" borderId="39" xfId="0" applyFont="1" applyBorder="1" applyAlignment="1">
      <alignment horizontal="center"/>
    </xf>
    <xf numFmtId="0" fontId="8" fillId="0" borderId="40" xfId="0" applyFont="1" applyBorder="1" applyAlignment="1">
      <alignment horizontal="center"/>
    </xf>
    <xf numFmtId="0" fontId="7" fillId="11" borderId="26" xfId="0" applyFont="1" applyFill="1" applyBorder="1" applyAlignment="1">
      <alignment horizontal="center" vertical="center"/>
    </xf>
    <xf numFmtId="0" fontId="7" fillId="11" borderId="2" xfId="0" applyFont="1" applyFill="1" applyBorder="1" applyAlignment="1">
      <alignment horizontal="center" vertical="center"/>
    </xf>
    <xf numFmtId="0" fontId="7" fillId="11" borderId="27" xfId="0" applyFont="1" applyFill="1" applyBorder="1" applyAlignment="1">
      <alignment horizontal="center" vertical="center" wrapText="1"/>
    </xf>
    <xf numFmtId="0" fontId="7" fillId="11" borderId="2" xfId="0" applyFont="1" applyFill="1" applyBorder="1" applyAlignment="1">
      <alignment horizontal="center" vertical="center" wrapText="1"/>
    </xf>
    <xf numFmtId="166" fontId="10" fillId="9" borderId="34" xfId="10" applyNumberFormat="1" applyFont="1" applyBorder="1"/>
    <xf numFmtId="0" fontId="8" fillId="17" borderId="31" xfId="0" applyFont="1" applyFill="1" applyBorder="1"/>
    <xf numFmtId="166" fontId="8" fillId="17" borderId="32" xfId="0" applyNumberFormat="1" applyFont="1" applyFill="1" applyBorder="1"/>
    <xf numFmtId="0" fontId="8" fillId="17" borderId="7" xfId="0" applyFont="1" applyFill="1" applyBorder="1"/>
    <xf numFmtId="166" fontId="8" fillId="17" borderId="8" xfId="0" applyNumberFormat="1" applyFont="1" applyFill="1" applyBorder="1"/>
    <xf numFmtId="0" fontId="8" fillId="17" borderId="41" xfId="0" applyFont="1" applyFill="1" applyBorder="1"/>
    <xf numFmtId="166" fontId="8" fillId="17" borderId="42" xfId="0" applyNumberFormat="1" applyFont="1" applyFill="1" applyBorder="1"/>
    <xf numFmtId="0" fontId="8" fillId="18" borderId="31" xfId="0" applyFont="1" applyFill="1" applyBorder="1"/>
    <xf numFmtId="166" fontId="8" fillId="18" borderId="32" xfId="0" applyNumberFormat="1" applyFont="1" applyFill="1" applyBorder="1"/>
    <xf numFmtId="0" fontId="8" fillId="18" borderId="7" xfId="0" applyFont="1" applyFill="1" applyBorder="1"/>
    <xf numFmtId="166" fontId="8" fillId="18" borderId="8" xfId="0" applyNumberFormat="1" applyFont="1" applyFill="1" applyBorder="1"/>
    <xf numFmtId="0" fontId="8" fillId="18" borderId="41" xfId="0" applyFont="1" applyFill="1" applyBorder="1"/>
    <xf numFmtId="166" fontId="8" fillId="18" borderId="42" xfId="0" applyNumberFormat="1" applyFont="1" applyFill="1" applyBorder="1"/>
    <xf numFmtId="0" fontId="7" fillId="18" borderId="33" xfId="0" applyFont="1" applyFill="1" applyBorder="1"/>
    <xf numFmtId="0" fontId="8" fillId="14" borderId="31" xfId="0" applyFont="1" applyFill="1" applyBorder="1"/>
    <xf numFmtId="166" fontId="8" fillId="14" borderId="32" xfId="0" applyNumberFormat="1" applyFont="1" applyFill="1" applyBorder="1"/>
    <xf numFmtId="0" fontId="8" fillId="14" borderId="7" xfId="0" applyFont="1" applyFill="1" applyBorder="1"/>
    <xf numFmtId="166" fontId="8" fillId="14" borderId="8" xfId="0" applyNumberFormat="1" applyFont="1" applyFill="1" applyBorder="1"/>
    <xf numFmtId="0" fontId="8" fillId="14" borderId="41" xfId="0" applyFont="1" applyFill="1" applyBorder="1"/>
    <xf numFmtId="166" fontId="8" fillId="14" borderId="42" xfId="0" applyNumberFormat="1" applyFont="1" applyFill="1" applyBorder="1"/>
    <xf numFmtId="0" fontId="7" fillId="14" borderId="33" xfId="0" applyFont="1" applyFill="1" applyBorder="1"/>
    <xf numFmtId="0" fontId="7" fillId="17" borderId="33" xfId="0" applyFont="1" applyFill="1" applyBorder="1"/>
    <xf numFmtId="0" fontId="8" fillId="19" borderId="24" xfId="0" applyFont="1" applyFill="1" applyBorder="1"/>
    <xf numFmtId="166" fontId="8" fillId="19" borderId="32" xfId="0" applyNumberFormat="1" applyFont="1" applyFill="1" applyBorder="1"/>
    <xf numFmtId="0" fontId="8" fillId="19" borderId="16" xfId="0" applyFont="1" applyFill="1" applyBorder="1"/>
    <xf numFmtId="166" fontId="8" fillId="19" borderId="8" xfId="0" applyNumberFormat="1" applyFont="1" applyFill="1" applyBorder="1"/>
    <xf numFmtId="0" fontId="8" fillId="19" borderId="15" xfId="0" applyFont="1" applyFill="1" applyBorder="1"/>
    <xf numFmtId="166" fontId="8" fillId="19" borderId="42" xfId="0" applyNumberFormat="1" applyFont="1" applyFill="1" applyBorder="1"/>
    <xf numFmtId="0" fontId="7" fillId="19" borderId="37" xfId="0" applyFont="1" applyFill="1" applyBorder="1"/>
    <xf numFmtId="0" fontId="14" fillId="20" borderId="18" xfId="0" applyFont="1" applyFill="1" applyBorder="1" applyAlignment="1">
      <alignment horizontal="center" vertical="center" wrapText="1"/>
    </xf>
    <xf numFmtId="166" fontId="4" fillId="20" borderId="21" xfId="0" applyNumberFormat="1" applyFont="1" applyFill="1" applyBorder="1" applyAlignment="1">
      <alignment horizontal="center"/>
    </xf>
    <xf numFmtId="9" fontId="0" fillId="0" borderId="0" xfId="0" applyNumberFormat="1"/>
    <xf numFmtId="0" fontId="4" fillId="10" borderId="47" xfId="11" applyFont="1" applyBorder="1" applyAlignment="1">
      <alignment vertical="center" wrapText="1"/>
    </xf>
    <xf numFmtId="0" fontId="1" fillId="10" borderId="48" xfId="11" applyBorder="1" applyAlignment="1">
      <alignment vertical="center" wrapText="1"/>
    </xf>
    <xf numFmtId="0" fontId="1" fillId="10" borderId="49" xfId="11" applyBorder="1" applyAlignment="1">
      <alignment vertical="center" wrapText="1"/>
    </xf>
    <xf numFmtId="9" fontId="7" fillId="8" borderId="22" xfId="9" applyNumberFormat="1" applyFont="1" applyBorder="1" applyAlignment="1">
      <alignment vertical="center" wrapText="1"/>
    </xf>
    <xf numFmtId="0" fontId="7" fillId="0" borderId="0" xfId="0" applyFont="1" applyAlignment="1">
      <alignment vertical="center"/>
    </xf>
    <xf numFmtId="0" fontId="7" fillId="8" borderId="26" xfId="9" applyFont="1" applyBorder="1" applyAlignment="1">
      <alignment horizontal="center" vertical="center" wrapText="1"/>
    </xf>
    <xf numFmtId="0" fontId="7" fillId="8" borderId="2" xfId="9" applyFont="1" applyBorder="1" applyAlignment="1">
      <alignment horizontal="center" vertical="center" wrapText="1"/>
    </xf>
    <xf numFmtId="0" fontId="7" fillId="8" borderId="27" xfId="9" applyFont="1" applyBorder="1" applyAlignment="1">
      <alignment horizontal="center" vertical="center" wrapText="1"/>
    </xf>
    <xf numFmtId="0" fontId="1" fillId="8" borderId="48" xfId="9" applyBorder="1" applyAlignment="1">
      <alignment vertical="center" wrapText="1"/>
    </xf>
    <xf numFmtId="0" fontId="2" fillId="2" borderId="7" xfId="3" applyBorder="1" applyAlignment="1">
      <alignment horizontal="center" vertical="center"/>
    </xf>
    <xf numFmtId="0" fontId="2" fillId="2" borderId="1" xfId="3" applyBorder="1" applyAlignment="1">
      <alignment horizontal="center" vertical="center"/>
    </xf>
    <xf numFmtId="0" fontId="2" fillId="2" borderId="8" xfId="3" applyBorder="1" applyAlignment="1">
      <alignment horizontal="center" vertical="center"/>
    </xf>
    <xf numFmtId="166" fontId="0" fillId="0" borderId="9" xfId="0" applyNumberFormat="1" applyBorder="1"/>
    <xf numFmtId="166" fontId="0" fillId="0" borderId="10" xfId="0" applyNumberFormat="1" applyBorder="1"/>
    <xf numFmtId="166" fontId="0" fillId="0" borderId="11" xfId="0" applyNumberFormat="1" applyBorder="1"/>
    <xf numFmtId="0" fontId="3" fillId="3" borderId="1" xfId="4" applyBorder="1" applyAlignment="1">
      <alignment horizontal="center"/>
    </xf>
    <xf numFmtId="0" fontId="3" fillId="3" borderId="1" xfId="4" applyBorder="1" applyAlignment="1">
      <alignment horizontal="center" vertical="center"/>
    </xf>
    <xf numFmtId="0" fontId="0" fillId="0" borderId="50" xfId="0" applyBorder="1" applyAlignment="1">
      <alignment horizontal="left" indent="1"/>
    </xf>
    <xf numFmtId="164" fontId="0" fillId="0" borderId="1" xfId="1" applyFont="1" applyBorder="1"/>
    <xf numFmtId="164" fontId="0" fillId="0" borderId="1" xfId="0" applyNumberFormat="1" applyBorder="1"/>
    <xf numFmtId="0" fontId="0" fillId="0" borderId="1" xfId="0" applyBorder="1" applyAlignment="1">
      <alignment horizontal="left" indent="1"/>
    </xf>
    <xf numFmtId="0" fontId="0" fillId="0" borderId="3" xfId="0" applyBorder="1" applyAlignment="1">
      <alignment horizontal="center"/>
    </xf>
    <xf numFmtId="164" fontId="3" fillId="3" borderId="1" xfId="4" applyNumberFormat="1" applyBorder="1" applyAlignment="1">
      <alignment horizontal="center"/>
    </xf>
    <xf numFmtId="0" fontId="0" fillId="23" borderId="1" xfId="0" applyFill="1" applyBorder="1"/>
    <xf numFmtId="168" fontId="0" fillId="0" borderId="1" xfId="1" applyNumberFormat="1" applyFont="1" applyBorder="1"/>
    <xf numFmtId="0" fontId="0" fillId="23" borderId="1" xfId="0" applyFill="1" applyBorder="1" applyAlignment="1">
      <alignment wrapText="1"/>
    </xf>
    <xf numFmtId="0" fontId="0" fillId="12" borderId="1" xfId="0" applyFill="1" applyBorder="1"/>
    <xf numFmtId="168" fontId="0" fillId="0" borderId="1" xfId="0" applyNumberFormat="1" applyBorder="1"/>
    <xf numFmtId="165" fontId="0" fillId="0" borderId="1" xfId="0" applyNumberFormat="1" applyBorder="1"/>
    <xf numFmtId="165" fontId="1" fillId="7" borderId="1" xfId="8" applyNumberFormat="1" applyBorder="1" applyAlignment="1">
      <alignment horizontal="center" vertical="center"/>
    </xf>
    <xf numFmtId="0" fontId="4" fillId="7" borderId="1" xfId="8" applyFont="1" applyBorder="1" applyAlignment="1">
      <alignment horizontal="center" vertical="center"/>
    </xf>
    <xf numFmtId="0" fontId="18" fillId="21" borderId="56" xfId="0" applyFont="1" applyFill="1" applyBorder="1" applyAlignment="1">
      <alignment wrapText="1"/>
    </xf>
    <xf numFmtId="10" fontId="19" fillId="24" borderId="44" xfId="0" applyNumberFormat="1" applyFont="1" applyFill="1" applyBorder="1" applyAlignment="1">
      <alignment horizontal="right" wrapText="1"/>
    </xf>
    <xf numFmtId="0" fontId="19" fillId="24" borderId="44" xfId="0" applyFont="1" applyFill="1" applyBorder="1" applyAlignment="1">
      <alignment horizontal="right" wrapText="1"/>
    </xf>
    <xf numFmtId="0" fontId="19" fillId="0" borderId="57" xfId="0" applyFont="1" applyBorder="1" applyAlignment="1">
      <alignment wrapText="1"/>
    </xf>
    <xf numFmtId="3" fontId="20" fillId="24" borderId="44" xfId="0" applyNumberFormat="1" applyFont="1" applyFill="1" applyBorder="1" applyAlignment="1">
      <alignment horizontal="right" wrapText="1"/>
    </xf>
    <xf numFmtId="0" fontId="0" fillId="0" borderId="57" xfId="0" applyBorder="1" applyAlignment="1">
      <alignment wrapText="1"/>
    </xf>
    <xf numFmtId="0" fontId="21" fillId="24" borderId="56" xfId="0" applyFont="1" applyFill="1" applyBorder="1" applyAlignment="1">
      <alignment wrapText="1"/>
    </xf>
    <xf numFmtId="9" fontId="21" fillId="24" borderId="44" xfId="2" applyFont="1" applyFill="1" applyBorder="1" applyAlignment="1">
      <alignment horizontal="right" wrapText="1"/>
    </xf>
    <xf numFmtId="0" fontId="21" fillId="24" borderId="0" xfId="0" applyFont="1" applyFill="1" applyAlignment="1">
      <alignment wrapText="1"/>
    </xf>
    <xf numFmtId="0" fontId="18" fillId="21" borderId="58" xfId="0" applyFont="1" applyFill="1" applyBorder="1" applyAlignment="1">
      <alignment wrapText="1"/>
    </xf>
    <xf numFmtId="10" fontId="19" fillId="24" borderId="59" xfId="0" applyNumberFormat="1" applyFont="1" applyFill="1" applyBorder="1" applyAlignment="1">
      <alignment horizontal="right" wrapText="1"/>
    </xf>
    <xf numFmtId="0" fontId="18" fillId="21" borderId="60" xfId="0" applyFont="1" applyFill="1" applyBorder="1" applyAlignment="1">
      <alignment wrapText="1"/>
    </xf>
    <xf numFmtId="10" fontId="19" fillId="24" borderId="46" xfId="0" applyNumberFormat="1" applyFont="1" applyFill="1" applyBorder="1" applyAlignment="1">
      <alignment horizontal="right" wrapText="1"/>
    </xf>
    <xf numFmtId="9" fontId="20" fillId="24" borderId="44" xfId="2" applyFont="1" applyFill="1" applyBorder="1" applyAlignment="1">
      <alignment horizontal="right" wrapText="1"/>
    </xf>
    <xf numFmtId="167" fontId="8" fillId="0" borderId="30" xfId="0" applyNumberFormat="1" applyFont="1" applyBorder="1" applyAlignment="1">
      <alignment horizontal="center"/>
    </xf>
    <xf numFmtId="1" fontId="8" fillId="0" borderId="30" xfId="0" applyNumberFormat="1" applyFont="1" applyBorder="1" applyAlignment="1">
      <alignment horizontal="center"/>
    </xf>
    <xf numFmtId="167" fontId="8" fillId="0" borderId="38" xfId="0" applyNumberFormat="1" applyFont="1" applyBorder="1" applyAlignment="1">
      <alignment horizontal="center"/>
    </xf>
    <xf numFmtId="167" fontId="8" fillId="0" borderId="39" xfId="0" applyNumberFormat="1" applyFont="1" applyBorder="1" applyAlignment="1">
      <alignment horizontal="center"/>
    </xf>
    <xf numFmtId="167" fontId="8" fillId="0" borderId="54" xfId="0" applyNumberFormat="1" applyFont="1" applyBorder="1" applyAlignment="1">
      <alignment horizontal="center"/>
    </xf>
    <xf numFmtId="167" fontId="8" fillId="0" borderId="19" xfId="0" applyNumberFormat="1" applyFont="1" applyBorder="1" applyAlignment="1">
      <alignment horizontal="center"/>
    </xf>
    <xf numFmtId="165" fontId="0" fillId="0" borderId="1" xfId="0" applyNumberFormat="1" applyBorder="1" applyAlignment="1">
      <alignment vertical="center"/>
    </xf>
    <xf numFmtId="1" fontId="15" fillId="0" borderId="35" xfId="0" applyNumberFormat="1" applyFont="1" applyBorder="1" applyAlignment="1">
      <alignment horizontal="center" vertical="center" wrapText="1"/>
    </xf>
    <xf numFmtId="1" fontId="15" fillId="0" borderId="13" xfId="0" applyNumberFormat="1" applyFont="1" applyBorder="1" applyAlignment="1">
      <alignment horizontal="center" vertical="center" wrapText="1"/>
    </xf>
    <xf numFmtId="1" fontId="22" fillId="0" borderId="20" xfId="1" applyNumberFormat="1" applyFont="1" applyBorder="1" applyAlignment="1">
      <alignment horizontal="center" vertical="center" wrapText="1"/>
    </xf>
    <xf numFmtId="1" fontId="15" fillId="14" borderId="13" xfId="0" applyNumberFormat="1" applyFont="1" applyFill="1" applyBorder="1" applyAlignment="1">
      <alignment horizontal="center" vertical="center" wrapText="1"/>
    </xf>
    <xf numFmtId="1" fontId="23" fillId="14" borderId="20" xfId="1" applyNumberFormat="1" applyFont="1" applyFill="1" applyBorder="1" applyAlignment="1">
      <alignment horizontal="center" vertical="center" wrapText="1"/>
    </xf>
    <xf numFmtId="1" fontId="23" fillId="14" borderId="39" xfId="1" applyNumberFormat="1" applyFont="1" applyFill="1" applyBorder="1" applyAlignment="1">
      <alignment horizontal="center" vertical="center" wrapText="1"/>
    </xf>
    <xf numFmtId="164" fontId="22" fillId="0" borderId="20" xfId="1" applyFont="1" applyBorder="1" applyAlignment="1">
      <alignment horizontal="center" vertical="center" wrapText="1"/>
    </xf>
    <xf numFmtId="1" fontId="22" fillId="0" borderId="39" xfId="1" applyNumberFormat="1" applyFont="1" applyBorder="1" applyAlignment="1">
      <alignment horizontal="center" vertical="center" wrapText="1"/>
    </xf>
    <xf numFmtId="1" fontId="15" fillId="0" borderId="20" xfId="1" applyNumberFormat="1" applyFont="1" applyBorder="1" applyAlignment="1">
      <alignment horizontal="center" vertical="center" wrapText="1"/>
    </xf>
    <xf numFmtId="1" fontId="15" fillId="0" borderId="39" xfId="1" applyNumberFormat="1" applyFont="1" applyBorder="1" applyAlignment="1">
      <alignment horizontal="center" vertical="center" wrapText="1"/>
    </xf>
    <xf numFmtId="1" fontId="22" fillId="22" borderId="39" xfId="1" applyNumberFormat="1" applyFont="1" applyFill="1" applyBorder="1" applyAlignment="1">
      <alignment horizontal="center" vertical="center" wrapText="1"/>
    </xf>
    <xf numFmtId="1" fontId="15" fillId="14" borderId="20" xfId="1" applyNumberFormat="1" applyFont="1" applyFill="1" applyBorder="1" applyAlignment="1">
      <alignment horizontal="center" vertical="center" wrapText="1"/>
    </xf>
    <xf numFmtId="1" fontId="15" fillId="14" borderId="39" xfId="1" applyNumberFormat="1" applyFont="1" applyFill="1" applyBorder="1" applyAlignment="1">
      <alignment horizontal="center" vertical="center" wrapText="1"/>
    </xf>
    <xf numFmtId="164" fontId="15" fillId="0" borderId="20" xfId="1" applyFont="1" applyBorder="1" applyAlignment="1">
      <alignment horizontal="center" vertical="center" wrapText="1"/>
    </xf>
    <xf numFmtId="1" fontId="22" fillId="0" borderId="13" xfId="0" applyNumberFormat="1" applyFont="1" applyBorder="1" applyAlignment="1">
      <alignment horizontal="center" vertical="center" wrapText="1"/>
    </xf>
    <xf numFmtId="1" fontId="22" fillId="0" borderId="13" xfId="1" quotePrefix="1" applyNumberFormat="1" applyFont="1" applyBorder="1" applyAlignment="1">
      <alignment horizontal="center" vertical="center" wrapText="1"/>
    </xf>
    <xf numFmtId="1" fontId="24" fillId="14" borderId="13" xfId="0" applyNumberFormat="1" applyFont="1" applyFill="1" applyBorder="1" applyAlignment="1">
      <alignment horizontal="center" vertical="center" wrapText="1"/>
    </xf>
    <xf numFmtId="1" fontId="24" fillId="14" borderId="14" xfId="0" applyNumberFormat="1" applyFont="1" applyFill="1" applyBorder="1" applyAlignment="1">
      <alignment horizontal="center" vertical="center" wrapText="1"/>
    </xf>
    <xf numFmtId="1" fontId="23" fillId="14" borderId="21" xfId="1" applyNumberFormat="1" applyFont="1" applyFill="1" applyBorder="1" applyAlignment="1">
      <alignment horizontal="center" vertical="center" wrapText="1"/>
    </xf>
    <xf numFmtId="1" fontId="23" fillId="14" borderId="40" xfId="1" applyNumberFormat="1" applyFont="1" applyFill="1" applyBorder="1" applyAlignment="1">
      <alignment horizontal="center" vertical="center" wrapText="1"/>
    </xf>
    <xf numFmtId="167" fontId="0" fillId="0" borderId="33" xfId="0" applyNumberFormat="1" applyBorder="1" applyAlignment="1">
      <alignment horizontal="center"/>
    </xf>
    <xf numFmtId="167" fontId="0" fillId="0" borderId="34" xfId="0" applyNumberFormat="1" applyBorder="1" applyAlignment="1">
      <alignment horizontal="center"/>
    </xf>
    <xf numFmtId="0" fontId="20" fillId="24" borderId="61" xfId="0" applyFont="1" applyFill="1" applyBorder="1" applyAlignment="1">
      <alignment wrapText="1"/>
    </xf>
    <xf numFmtId="0" fontId="0" fillId="0" borderId="62" xfId="0" applyBorder="1" applyAlignment="1">
      <alignment wrapText="1"/>
    </xf>
    <xf numFmtId="2" fontId="20" fillId="24" borderId="2" xfId="0" applyNumberFormat="1" applyFont="1" applyFill="1" applyBorder="1" applyAlignment="1">
      <alignment wrapText="1"/>
    </xf>
    <xf numFmtId="0" fontId="18" fillId="21" borderId="63" xfId="0" applyFont="1" applyFill="1" applyBorder="1" applyAlignment="1">
      <alignment wrapText="1"/>
    </xf>
    <xf numFmtId="0" fontId="18" fillId="21" borderId="2" xfId="0" applyFont="1" applyFill="1" applyBorder="1" applyAlignment="1">
      <alignment wrapText="1"/>
    </xf>
    <xf numFmtId="0" fontId="5" fillId="5" borderId="1" xfId="6" applyBorder="1" applyAlignment="1">
      <alignment horizontal="center" vertical="center" wrapText="1"/>
    </xf>
    <xf numFmtId="3" fontId="5" fillId="5" borderId="1" xfId="6" applyNumberFormat="1" applyBorder="1" applyAlignment="1">
      <alignment horizontal="center" vertical="center"/>
    </xf>
    <xf numFmtId="9" fontId="5" fillId="5" borderId="1" xfId="6" applyNumberFormat="1" applyBorder="1" applyAlignment="1">
      <alignment horizontal="center" vertical="center"/>
    </xf>
    <xf numFmtId="0" fontId="5" fillId="5" borderId="1" xfId="6" applyBorder="1" applyAlignment="1">
      <alignment horizontal="center" vertical="center"/>
    </xf>
    <xf numFmtId="2" fontId="5" fillId="5" borderId="1" xfId="6" applyNumberFormat="1" applyBorder="1" applyAlignment="1">
      <alignment horizontal="center" vertical="center"/>
    </xf>
    <xf numFmtId="0" fontId="5" fillId="0" borderId="0" xfId="6" applyFill="1" applyBorder="1" applyAlignment="1">
      <alignment horizontal="center" vertical="center" wrapText="1"/>
    </xf>
    <xf numFmtId="9" fontId="5" fillId="0" borderId="0" xfId="6" applyNumberFormat="1" applyFill="1" applyBorder="1" applyAlignment="1">
      <alignment horizontal="center" vertical="center"/>
    </xf>
    <xf numFmtId="0" fontId="5" fillId="0" borderId="0" xfId="6" applyFill="1" applyBorder="1" applyAlignment="1">
      <alignment horizontal="center" vertical="center"/>
    </xf>
    <xf numFmtId="0" fontId="4" fillId="0" borderId="0" xfId="7" applyFont="1" applyFill="1" applyBorder="1" applyAlignment="1"/>
    <xf numFmtId="0" fontId="25" fillId="25" borderId="64" xfId="0" applyFont="1" applyFill="1" applyBorder="1" applyAlignment="1">
      <alignment wrapText="1"/>
    </xf>
    <xf numFmtId="10" fontId="26" fillId="24" borderId="65" xfId="0" applyNumberFormat="1" applyFont="1" applyFill="1" applyBorder="1" applyAlignment="1">
      <alignment horizontal="right" wrapText="1"/>
    </xf>
    <xf numFmtId="0" fontId="25" fillId="25" borderId="56" xfId="0" applyFont="1" applyFill="1" applyBorder="1" applyAlignment="1">
      <alignment wrapText="1"/>
    </xf>
    <xf numFmtId="3" fontId="26" fillId="24" borderId="44" xfId="0" applyNumberFormat="1" applyFont="1" applyFill="1" applyBorder="1" applyAlignment="1">
      <alignment horizontal="right" wrapText="1"/>
    </xf>
    <xf numFmtId="10" fontId="26" fillId="24" borderId="44" xfId="0" applyNumberFormat="1" applyFont="1" applyFill="1" applyBorder="1" applyAlignment="1">
      <alignment horizontal="right" wrapText="1"/>
    </xf>
    <xf numFmtId="0" fontId="26" fillId="24" borderId="44" xfId="0" applyFont="1" applyFill="1" applyBorder="1" applyAlignment="1">
      <alignment horizontal="right" wrapText="1"/>
    </xf>
    <xf numFmtId="164" fontId="26" fillId="24" borderId="44" xfId="1" applyFont="1" applyFill="1" applyBorder="1" applyAlignment="1">
      <alignment horizontal="right" wrapText="1"/>
    </xf>
    <xf numFmtId="9" fontId="26" fillId="24" borderId="45" xfId="0" applyNumberFormat="1" applyFont="1" applyFill="1" applyBorder="1" applyAlignment="1">
      <alignment horizontal="right" wrapText="1"/>
    </xf>
    <xf numFmtId="0" fontId="25" fillId="25" borderId="55" xfId="0" applyFont="1" applyFill="1" applyBorder="1" applyAlignment="1">
      <alignment wrapText="1"/>
    </xf>
    <xf numFmtId="10" fontId="26" fillId="24" borderId="43" xfId="0" applyNumberFormat="1" applyFont="1" applyFill="1" applyBorder="1" applyAlignment="1">
      <alignment horizontal="right" wrapText="1"/>
    </xf>
    <xf numFmtId="0" fontId="0" fillId="0" borderId="66" xfId="0" applyBorder="1" applyAlignment="1">
      <alignment wrapText="1"/>
    </xf>
    <xf numFmtId="10" fontId="27" fillId="24" borderId="43" xfId="0" applyNumberFormat="1" applyFont="1" applyFill="1" applyBorder="1" applyAlignment="1">
      <alignment horizontal="right" wrapText="1"/>
    </xf>
    <xf numFmtId="10" fontId="28" fillId="24" borderId="44" xfId="0" applyNumberFormat="1" applyFont="1" applyFill="1" applyBorder="1" applyAlignment="1">
      <alignment horizontal="right" wrapText="1"/>
    </xf>
    <xf numFmtId="1" fontId="0" fillId="14" borderId="1" xfId="0" applyNumberFormat="1" applyFill="1" applyBorder="1"/>
    <xf numFmtId="1" fontId="0" fillId="0" borderId="1" xfId="1" applyNumberFormat="1" applyFont="1" applyBorder="1"/>
    <xf numFmtId="1" fontId="0" fillId="14" borderId="1" xfId="1" applyNumberFormat="1" applyFont="1" applyFill="1" applyBorder="1"/>
    <xf numFmtId="1" fontId="0" fillId="0" borderId="7" xfId="0" applyNumberFormat="1" applyBorder="1"/>
    <xf numFmtId="1" fontId="0" fillId="14" borderId="7" xfId="0" applyNumberFormat="1" applyFill="1" applyBorder="1"/>
    <xf numFmtId="1" fontId="0" fillId="14" borderId="8" xfId="0" applyNumberFormat="1" applyFill="1" applyBorder="1"/>
    <xf numFmtId="1" fontId="0" fillId="0" borderId="8" xfId="1" applyNumberFormat="1" applyFont="1" applyBorder="1"/>
    <xf numFmtId="1" fontId="0" fillId="14" borderId="8" xfId="1" applyNumberFormat="1" applyFont="1" applyFill="1" applyBorder="1"/>
    <xf numFmtId="1" fontId="0" fillId="0" borderId="9" xfId="0" applyNumberFormat="1" applyBorder="1"/>
    <xf numFmtId="1" fontId="0" fillId="0" borderId="10" xfId="0" applyNumberFormat="1" applyBorder="1"/>
    <xf numFmtId="1" fontId="0" fillId="0" borderId="11" xfId="0" applyNumberFormat="1" applyBorder="1"/>
    <xf numFmtId="0" fontId="29" fillId="25" borderId="18" xfId="0" applyFont="1" applyFill="1" applyBorder="1"/>
    <xf numFmtId="0" fontId="29" fillId="25" borderId="20" xfId="0" applyFont="1" applyFill="1" applyBorder="1"/>
    <xf numFmtId="0" fontId="29" fillId="25" borderId="21" xfId="0" applyFont="1" applyFill="1" applyBorder="1"/>
    <xf numFmtId="1" fontId="0" fillId="0" borderId="31" xfId="0" applyNumberFormat="1" applyBorder="1"/>
    <xf numFmtId="1" fontId="0" fillId="0" borderId="3" xfId="0" applyNumberFormat="1" applyBorder="1"/>
    <xf numFmtId="1" fontId="0" fillId="0" borderId="32" xfId="0" applyNumberFormat="1" applyBorder="1"/>
    <xf numFmtId="0" fontId="29" fillId="25" borderId="33" xfId="0" applyFont="1" applyFill="1" applyBorder="1" applyAlignment="1">
      <alignment horizontal="center" vertical="center"/>
    </xf>
    <xf numFmtId="0" fontId="29" fillId="25" borderId="36" xfId="0" applyFont="1" applyFill="1" applyBorder="1" applyAlignment="1">
      <alignment horizontal="center" vertical="center"/>
    </xf>
    <xf numFmtId="0" fontId="29" fillId="25" borderId="34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4" fillId="11" borderId="2" xfId="0" applyFont="1" applyFill="1" applyBorder="1" applyAlignment="1">
      <alignment horizontal="center"/>
    </xf>
    <xf numFmtId="0" fontId="4" fillId="11" borderId="37" xfId="0" applyFont="1" applyFill="1" applyBorder="1" applyAlignment="1">
      <alignment horizontal="center"/>
    </xf>
    <xf numFmtId="0" fontId="4" fillId="11" borderId="36" xfId="0" applyFont="1" applyFill="1" applyBorder="1" applyAlignment="1">
      <alignment horizontal="center"/>
    </xf>
    <xf numFmtId="0" fontId="4" fillId="11" borderId="34" xfId="0" applyFont="1" applyFill="1" applyBorder="1" applyAlignment="1">
      <alignment horizontal="center"/>
    </xf>
    <xf numFmtId="0" fontId="4" fillId="11" borderId="30" xfId="0" applyFont="1" applyFill="1" applyBorder="1" applyAlignment="1">
      <alignment horizontal="center"/>
    </xf>
    <xf numFmtId="9" fontId="4" fillId="11" borderId="20" xfId="0" applyNumberFormat="1" applyFont="1" applyFill="1" applyBorder="1" applyAlignment="1">
      <alignment horizontal="center"/>
    </xf>
    <xf numFmtId="9" fontId="4" fillId="11" borderId="21" xfId="0" applyNumberFormat="1" applyFont="1" applyFill="1" applyBorder="1" applyAlignment="1">
      <alignment horizontal="center"/>
    </xf>
    <xf numFmtId="3" fontId="0" fillId="0" borderId="24" xfId="0" applyNumberFormat="1" applyBorder="1" applyAlignment="1">
      <alignment horizontal="center"/>
    </xf>
    <xf numFmtId="2" fontId="0" fillId="0" borderId="32" xfId="0" applyNumberFormat="1" applyBorder="1" applyAlignment="1">
      <alignment horizontal="center"/>
    </xf>
    <xf numFmtId="3" fontId="0" fillId="0" borderId="16" xfId="0" applyNumberFormat="1" applyBorder="1" applyAlignment="1">
      <alignment horizontal="center"/>
    </xf>
    <xf numFmtId="3" fontId="0" fillId="0" borderId="17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164" fontId="0" fillId="0" borderId="0" xfId="1" applyFont="1"/>
    <xf numFmtId="169" fontId="0" fillId="0" borderId="0" xfId="2" applyNumberFormat="1" applyFont="1"/>
    <xf numFmtId="9" fontId="0" fillId="0" borderId="8" xfId="2" applyFont="1" applyBorder="1"/>
    <xf numFmtId="164" fontId="0" fillId="0" borderId="10" xfId="1" applyFont="1" applyBorder="1"/>
    <xf numFmtId="9" fontId="0" fillId="0" borderId="11" xfId="2" applyFont="1" applyBorder="1"/>
    <xf numFmtId="0" fontId="0" fillId="26" borderId="31" xfId="0" applyFill="1" applyBorder="1" applyAlignment="1">
      <alignment horizontal="center"/>
    </xf>
    <xf numFmtId="0" fontId="0" fillId="26" borderId="3" xfId="0" applyFill="1" applyBorder="1" applyAlignment="1">
      <alignment horizontal="center"/>
    </xf>
    <xf numFmtId="0" fontId="0" fillId="26" borderId="32" xfId="0" applyFill="1" applyBorder="1" applyAlignment="1">
      <alignment horizontal="center"/>
    </xf>
    <xf numFmtId="9" fontId="0" fillId="0" borderId="7" xfId="2" applyFont="1" applyBorder="1" applyAlignment="1">
      <alignment horizontal="center"/>
    </xf>
    <xf numFmtId="9" fontId="0" fillId="0" borderId="9" xfId="2" applyFont="1" applyBorder="1" applyAlignment="1">
      <alignment horizontal="center"/>
    </xf>
    <xf numFmtId="3" fontId="0" fillId="0" borderId="0" xfId="0" applyNumberFormat="1"/>
    <xf numFmtId="0" fontId="0" fillId="14" borderId="1" xfId="0" applyFill="1" applyBorder="1"/>
    <xf numFmtId="0" fontId="0" fillId="0" borderId="1" xfId="0" applyBorder="1"/>
    <xf numFmtId="2" fontId="0" fillId="0" borderId="1" xfId="0" applyNumberFormat="1" applyBorder="1"/>
    <xf numFmtId="8" fontId="0" fillId="0" borderId="1" xfId="0" applyNumberFormat="1" applyBorder="1"/>
    <xf numFmtId="9" fontId="0" fillId="0" borderId="1" xfId="0" applyNumberFormat="1" applyBorder="1"/>
    <xf numFmtId="0" fontId="30" fillId="0" borderId="0" xfId="0" applyFont="1"/>
    <xf numFmtId="166" fontId="0" fillId="0" borderId="0" xfId="0" applyNumberFormat="1"/>
    <xf numFmtId="170" fontId="0" fillId="0" borderId="0" xfId="0" applyNumberFormat="1"/>
    <xf numFmtId="9" fontId="21" fillId="24" borderId="67" xfId="2" applyFont="1" applyFill="1" applyBorder="1" applyAlignment="1">
      <alignment horizontal="right" wrapText="1"/>
    </xf>
    <xf numFmtId="0" fontId="21" fillId="24" borderId="63" xfId="0" applyFont="1" applyFill="1" applyBorder="1" applyAlignment="1">
      <alignment wrapText="1"/>
    </xf>
    <xf numFmtId="0" fontId="21" fillId="24" borderId="2" xfId="0" applyFont="1" applyFill="1" applyBorder="1" applyAlignment="1">
      <alignment wrapText="1"/>
    </xf>
    <xf numFmtId="170" fontId="20" fillId="24" borderId="44" xfId="2" applyNumberFormat="1" applyFont="1" applyFill="1" applyBorder="1" applyAlignment="1">
      <alignment horizontal="right" wrapText="1"/>
    </xf>
    <xf numFmtId="170" fontId="5" fillId="5" borderId="1" xfId="6" applyNumberFormat="1" applyBorder="1" applyAlignment="1">
      <alignment horizontal="center" vertical="center"/>
    </xf>
    <xf numFmtId="170" fontId="0" fillId="0" borderId="3" xfId="0" applyNumberFormat="1" applyBorder="1" applyAlignment="1">
      <alignment horizontal="center"/>
    </xf>
    <xf numFmtId="170" fontId="0" fillId="0" borderId="1" xfId="0" applyNumberFormat="1" applyBorder="1" applyAlignment="1">
      <alignment horizontal="center"/>
    </xf>
    <xf numFmtId="170" fontId="0" fillId="0" borderId="10" xfId="0" applyNumberFormat="1" applyBorder="1" applyAlignment="1">
      <alignment horizontal="center"/>
    </xf>
    <xf numFmtId="167" fontId="15" fillId="0" borderId="30" xfId="1" applyNumberFormat="1" applyFont="1" applyBorder="1" applyAlignment="1">
      <alignment horizontal="center" vertical="center" wrapText="1"/>
    </xf>
    <xf numFmtId="167" fontId="15" fillId="0" borderId="35" xfId="0" applyNumberFormat="1" applyFont="1" applyBorder="1" applyAlignment="1">
      <alignment horizontal="center" vertical="center" wrapText="1"/>
    </xf>
    <xf numFmtId="167" fontId="15" fillId="0" borderId="13" xfId="0" applyNumberFormat="1" applyFont="1" applyBorder="1" applyAlignment="1">
      <alignment horizontal="center" vertical="center" wrapText="1"/>
    </xf>
    <xf numFmtId="167" fontId="22" fillId="0" borderId="20" xfId="1" applyNumberFormat="1" applyFont="1" applyBorder="1" applyAlignment="1">
      <alignment horizontal="center" vertical="center" wrapText="1"/>
    </xf>
    <xf numFmtId="167" fontId="15" fillId="14" borderId="13" xfId="0" applyNumberFormat="1" applyFont="1" applyFill="1" applyBorder="1" applyAlignment="1">
      <alignment horizontal="center" vertical="center" wrapText="1"/>
    </xf>
    <xf numFmtId="167" fontId="23" fillId="14" borderId="20" xfId="1" applyNumberFormat="1" applyFont="1" applyFill="1" applyBorder="1" applyAlignment="1">
      <alignment horizontal="center" vertical="center" wrapText="1"/>
    </xf>
    <xf numFmtId="167" fontId="23" fillId="14" borderId="39" xfId="1" applyNumberFormat="1" applyFont="1" applyFill="1" applyBorder="1" applyAlignment="1">
      <alignment horizontal="center" vertical="center" wrapText="1"/>
    </xf>
    <xf numFmtId="167" fontId="22" fillId="0" borderId="39" xfId="1" applyNumberFormat="1" applyFont="1" applyBorder="1" applyAlignment="1">
      <alignment horizontal="center" vertical="center" wrapText="1"/>
    </xf>
    <xf numFmtId="167" fontId="15" fillId="0" borderId="20" xfId="1" applyNumberFormat="1" applyFont="1" applyBorder="1" applyAlignment="1">
      <alignment horizontal="center" vertical="center" wrapText="1"/>
    </xf>
    <xf numFmtId="167" fontId="15" fillId="0" borderId="39" xfId="1" applyNumberFormat="1" applyFont="1" applyBorder="1" applyAlignment="1">
      <alignment horizontal="center" vertical="center" wrapText="1"/>
    </xf>
    <xf numFmtId="167" fontId="22" fillId="22" borderId="39" xfId="1" applyNumberFormat="1" applyFont="1" applyFill="1" applyBorder="1" applyAlignment="1">
      <alignment horizontal="center" vertical="center" wrapText="1"/>
    </xf>
    <xf numFmtId="167" fontId="15" fillId="14" borderId="20" xfId="1" applyNumberFormat="1" applyFont="1" applyFill="1" applyBorder="1" applyAlignment="1">
      <alignment horizontal="center" vertical="center" wrapText="1"/>
    </xf>
    <xf numFmtId="167" fontId="15" fillId="14" borderId="39" xfId="1" applyNumberFormat="1" applyFont="1" applyFill="1" applyBorder="1" applyAlignment="1">
      <alignment horizontal="center" vertical="center" wrapText="1"/>
    </xf>
    <xf numFmtId="167" fontId="22" fillId="0" borderId="13" xfId="0" applyNumberFormat="1" applyFont="1" applyBorder="1" applyAlignment="1">
      <alignment horizontal="center" vertical="center" wrapText="1"/>
    </xf>
    <xf numFmtId="167" fontId="22" fillId="0" borderId="13" xfId="1" quotePrefix="1" applyNumberFormat="1" applyFont="1" applyBorder="1" applyAlignment="1">
      <alignment horizontal="center" vertical="center" wrapText="1"/>
    </xf>
    <xf numFmtId="167" fontId="24" fillId="14" borderId="13" xfId="0" applyNumberFormat="1" applyFont="1" applyFill="1" applyBorder="1" applyAlignment="1">
      <alignment horizontal="center" vertical="center" wrapText="1"/>
    </xf>
    <xf numFmtId="167" fontId="24" fillId="14" borderId="14" xfId="0" applyNumberFormat="1" applyFont="1" applyFill="1" applyBorder="1" applyAlignment="1">
      <alignment horizontal="center" vertical="center" wrapText="1"/>
    </xf>
    <xf numFmtId="167" fontId="23" fillId="14" borderId="21" xfId="1" applyNumberFormat="1" applyFont="1" applyFill="1" applyBorder="1" applyAlignment="1">
      <alignment horizontal="center" vertical="center" wrapText="1"/>
    </xf>
    <xf numFmtId="167" fontId="23" fillId="14" borderId="40" xfId="1" applyNumberFormat="1" applyFont="1" applyFill="1" applyBorder="1" applyAlignment="1">
      <alignment horizontal="center" vertical="center" wrapText="1"/>
    </xf>
    <xf numFmtId="167" fontId="23" fillId="27" borderId="13" xfId="0" applyNumberFormat="1" applyFont="1" applyFill="1" applyBorder="1" applyAlignment="1">
      <alignment horizontal="center" vertical="center" wrapText="1"/>
    </xf>
    <xf numFmtId="167" fontId="23" fillId="27" borderId="20" xfId="1" applyNumberFormat="1" applyFont="1" applyFill="1" applyBorder="1" applyAlignment="1">
      <alignment horizontal="center" vertical="center" wrapText="1"/>
    </xf>
    <xf numFmtId="167" fontId="23" fillId="27" borderId="39" xfId="1" applyNumberFormat="1" applyFont="1" applyFill="1" applyBorder="1" applyAlignment="1">
      <alignment horizontal="center" vertical="center" wrapText="1"/>
    </xf>
    <xf numFmtId="1" fontId="23" fillId="27" borderId="13" xfId="0" applyNumberFormat="1" applyFont="1" applyFill="1" applyBorder="1" applyAlignment="1">
      <alignment horizontal="center" vertical="center" wrapText="1"/>
    </xf>
    <xf numFmtId="1" fontId="23" fillId="27" borderId="20" xfId="1" applyNumberFormat="1" applyFont="1" applyFill="1" applyBorder="1" applyAlignment="1">
      <alignment horizontal="center" vertical="center" wrapText="1"/>
    </xf>
    <xf numFmtId="1" fontId="23" fillId="27" borderId="39" xfId="1" applyNumberFormat="1" applyFont="1" applyFill="1" applyBorder="1" applyAlignment="1">
      <alignment horizontal="center" vertical="center" wrapText="1"/>
    </xf>
    <xf numFmtId="2" fontId="0" fillId="0" borderId="1" xfId="2" applyNumberFormat="1" applyFont="1" applyBorder="1"/>
    <xf numFmtId="10" fontId="0" fillId="0" borderId="0" xfId="2" applyNumberFormat="1" applyFont="1"/>
    <xf numFmtId="0" fontId="4" fillId="16" borderId="26" xfId="0" applyFont="1" applyFill="1" applyBorder="1" applyAlignment="1">
      <alignment vertical="center" wrapText="1"/>
    </xf>
    <xf numFmtId="0" fontId="31" fillId="28" borderId="2" xfId="0" applyFont="1" applyFill="1" applyBorder="1" applyAlignment="1">
      <alignment vertical="center" wrapText="1"/>
    </xf>
    <xf numFmtId="0" fontId="4" fillId="13" borderId="23" xfId="0" applyFont="1" applyFill="1" applyBorder="1" applyAlignment="1">
      <alignment horizontal="center" vertical="center" wrapText="1"/>
    </xf>
    <xf numFmtId="0" fontId="4" fillId="15" borderId="2" xfId="0" applyFont="1" applyFill="1" applyBorder="1" applyAlignment="1">
      <alignment horizontal="center" vertical="center" wrapText="1"/>
    </xf>
    <xf numFmtId="167" fontId="0" fillId="15" borderId="30" xfId="0" applyNumberFormat="1" applyFill="1" applyBorder="1" applyAlignment="1">
      <alignment horizontal="center" vertical="center"/>
    </xf>
    <xf numFmtId="166" fontId="0" fillId="16" borderId="2" xfId="0" applyNumberFormat="1" applyFill="1" applyBorder="1" applyAlignment="1">
      <alignment horizontal="center" vertical="center"/>
    </xf>
    <xf numFmtId="167" fontId="0" fillId="16" borderId="28" xfId="0" applyNumberFormat="1" applyFill="1" applyBorder="1" applyAlignment="1">
      <alignment horizontal="center" vertical="center"/>
    </xf>
    <xf numFmtId="164" fontId="4" fillId="28" borderId="68" xfId="1" applyFont="1" applyFill="1" applyBorder="1" applyAlignment="1">
      <alignment horizontal="center" vertical="center"/>
    </xf>
    <xf numFmtId="167" fontId="4" fillId="28" borderId="68" xfId="0" applyNumberFormat="1" applyFont="1" applyFill="1" applyBorder="1" applyAlignment="1">
      <alignment horizontal="center" vertical="center"/>
    </xf>
    <xf numFmtId="1" fontId="23" fillId="14" borderId="13" xfId="0" applyNumberFormat="1" applyFont="1" applyFill="1" applyBorder="1" applyAlignment="1">
      <alignment horizontal="center" vertical="center" wrapText="1"/>
    </xf>
    <xf numFmtId="1" fontId="23" fillId="14" borderId="14" xfId="0" applyNumberFormat="1" applyFont="1" applyFill="1" applyBorder="1" applyAlignment="1">
      <alignment horizontal="center" vertical="center" wrapText="1"/>
    </xf>
    <xf numFmtId="1" fontId="15" fillId="0" borderId="30" xfId="1" applyNumberFormat="1" applyFont="1" applyBorder="1" applyAlignment="1">
      <alignment horizontal="center" vertical="center" wrapText="1"/>
    </xf>
    <xf numFmtId="167" fontId="24" fillId="14" borderId="21" xfId="1" applyNumberFormat="1" applyFont="1" applyFill="1" applyBorder="1" applyAlignment="1">
      <alignment horizontal="center" vertical="center" wrapText="1"/>
    </xf>
    <xf numFmtId="167" fontId="24" fillId="27" borderId="20" xfId="1" applyNumberFormat="1" applyFont="1" applyFill="1" applyBorder="1" applyAlignment="1">
      <alignment horizontal="center" vertical="center" wrapText="1"/>
    </xf>
    <xf numFmtId="1" fontId="24" fillId="14" borderId="21" xfId="1" applyNumberFormat="1" applyFont="1" applyFill="1" applyBorder="1" applyAlignment="1">
      <alignment horizontal="center" vertical="center" wrapText="1"/>
    </xf>
    <xf numFmtId="1" fontId="0" fillId="0" borderId="10" xfId="1" applyNumberFormat="1" applyFont="1" applyBorder="1"/>
    <xf numFmtId="167" fontId="0" fillId="0" borderId="1" xfId="0" applyNumberFormat="1" applyBorder="1"/>
    <xf numFmtId="0" fontId="0" fillId="26" borderId="26" xfId="0" applyFill="1" applyBorder="1" applyAlignment="1">
      <alignment horizontal="center"/>
    </xf>
    <xf numFmtId="0" fontId="0" fillId="26" borderId="27" xfId="0" applyFill="1" applyBorder="1" applyAlignment="1">
      <alignment horizontal="center"/>
    </xf>
    <xf numFmtId="0" fontId="0" fillId="26" borderId="28" xfId="0" applyFill="1" applyBorder="1" applyAlignment="1">
      <alignment horizontal="center"/>
    </xf>
    <xf numFmtId="0" fontId="2" fillId="2" borderId="4" xfId="3" applyBorder="1" applyAlignment="1">
      <alignment horizontal="center" vertical="center"/>
    </xf>
    <xf numFmtId="0" fontId="2" fillId="2" borderId="5" xfId="3" applyBorder="1" applyAlignment="1">
      <alignment horizontal="center" vertical="center"/>
    </xf>
    <xf numFmtId="0" fontId="2" fillId="2" borderId="6" xfId="3" applyBorder="1" applyAlignment="1">
      <alignment horizontal="center" vertical="center"/>
    </xf>
    <xf numFmtId="0" fontId="3" fillId="3" borderId="1" xfId="4" applyBorder="1" applyAlignment="1">
      <alignment horizontal="center"/>
    </xf>
    <xf numFmtId="0" fontId="4" fillId="6" borderId="50" xfId="7" applyFont="1" applyBorder="1" applyAlignment="1">
      <alignment horizontal="center"/>
    </xf>
    <xf numFmtId="0" fontId="4" fillId="6" borderId="39" xfId="7" applyFont="1" applyBorder="1" applyAlignment="1">
      <alignment horizontal="center"/>
    </xf>
    <xf numFmtId="0" fontId="4" fillId="6" borderId="16" xfId="7" applyFont="1" applyBorder="1" applyAlignment="1">
      <alignment horizontal="center"/>
    </xf>
    <xf numFmtId="0" fontId="0" fillId="0" borderId="0" xfId="0" applyAlignment="1">
      <alignment horizontal="center"/>
    </xf>
    <xf numFmtId="0" fontId="4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13" fillId="12" borderId="33" xfId="0" applyFont="1" applyFill="1" applyBorder="1" applyAlignment="1">
      <alignment horizontal="center" vertical="center"/>
    </xf>
    <xf numFmtId="0" fontId="13" fillId="12" borderId="36" xfId="0" applyFont="1" applyFill="1" applyBorder="1" applyAlignment="1">
      <alignment horizontal="center" vertical="center"/>
    </xf>
    <xf numFmtId="0" fontId="13" fillId="12" borderId="34" xfId="0" applyFont="1" applyFill="1" applyBorder="1" applyAlignment="1">
      <alignment horizontal="center" vertical="center"/>
    </xf>
    <xf numFmtId="0" fontId="7" fillId="17" borderId="51" xfId="0" applyFont="1" applyFill="1" applyBorder="1" applyAlignment="1">
      <alignment horizontal="center" vertical="center"/>
    </xf>
    <xf numFmtId="0" fontId="7" fillId="17" borderId="52" xfId="0" applyFont="1" applyFill="1" applyBorder="1" applyAlignment="1">
      <alignment horizontal="center" vertical="center"/>
    </xf>
    <xf numFmtId="0" fontId="7" fillId="14" borderId="51" xfId="0" applyFont="1" applyFill="1" applyBorder="1" applyAlignment="1">
      <alignment horizontal="center" vertical="center"/>
    </xf>
    <xf numFmtId="0" fontId="7" fillId="14" borderId="52" xfId="0" applyFont="1" applyFill="1" applyBorder="1" applyAlignment="1">
      <alignment horizontal="center" vertical="center"/>
    </xf>
    <xf numFmtId="0" fontId="7" fillId="18" borderId="51" xfId="0" applyFont="1" applyFill="1" applyBorder="1" applyAlignment="1">
      <alignment horizontal="center" vertical="center"/>
    </xf>
    <xf numFmtId="0" fontId="7" fillId="18" borderId="52" xfId="0" applyFont="1" applyFill="1" applyBorder="1" applyAlignment="1">
      <alignment horizontal="center" vertical="center"/>
    </xf>
    <xf numFmtId="0" fontId="7" fillId="19" borderId="53" xfId="0" applyFont="1" applyFill="1" applyBorder="1" applyAlignment="1">
      <alignment horizontal="center" vertical="center"/>
    </xf>
    <xf numFmtId="0" fontId="7" fillId="19" borderId="52" xfId="0" applyFont="1" applyFill="1" applyBorder="1" applyAlignment="1">
      <alignment horizontal="center" vertical="center"/>
    </xf>
    <xf numFmtId="0" fontId="4" fillId="7" borderId="1" xfId="8" applyFont="1" applyBorder="1" applyAlignment="1">
      <alignment horizontal="center" vertical="center"/>
    </xf>
    <xf numFmtId="0" fontId="7" fillId="17" borderId="33" xfId="0" applyFont="1" applyFill="1" applyBorder="1" applyAlignment="1">
      <alignment horizontal="center" vertical="center"/>
    </xf>
    <xf numFmtId="0" fontId="7" fillId="17" borderId="34" xfId="0" applyFont="1" applyFill="1" applyBorder="1" applyAlignment="1">
      <alignment horizontal="center" vertical="center"/>
    </xf>
    <xf numFmtId="0" fontId="7" fillId="14" borderId="33" xfId="0" applyFont="1" applyFill="1" applyBorder="1" applyAlignment="1">
      <alignment horizontal="center" vertical="center"/>
    </xf>
    <xf numFmtId="0" fontId="7" fillId="14" borderId="34" xfId="0" applyFont="1" applyFill="1" applyBorder="1" applyAlignment="1">
      <alignment horizontal="center" vertical="center"/>
    </xf>
    <xf numFmtId="0" fontId="7" fillId="18" borderId="33" xfId="0" applyFont="1" applyFill="1" applyBorder="1" applyAlignment="1">
      <alignment horizontal="center" vertical="center"/>
    </xf>
    <xf numFmtId="0" fontId="7" fillId="18" borderId="34" xfId="0" applyFont="1" applyFill="1" applyBorder="1" applyAlignment="1">
      <alignment horizontal="center" vertical="center"/>
    </xf>
    <xf numFmtId="0" fontId="7" fillId="19" borderId="37" xfId="0" applyFont="1" applyFill="1" applyBorder="1" applyAlignment="1">
      <alignment horizontal="center" vertical="center"/>
    </xf>
    <xf numFmtId="0" fontId="7" fillId="19" borderId="34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4" xfId="0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0" fontId="0" fillId="0" borderId="1" xfId="0" applyNumberFormat="1" applyBorder="1" applyAlignment="1">
      <alignment horizontal="center" vertical="center"/>
    </xf>
    <xf numFmtId="0" fontId="6" fillId="15" borderId="26" xfId="0" applyFont="1" applyFill="1" applyBorder="1" applyAlignment="1">
      <alignment horizontal="center"/>
    </xf>
    <xf numFmtId="0" fontId="6" fillId="15" borderId="27" xfId="0" applyFont="1" applyFill="1" applyBorder="1" applyAlignment="1">
      <alignment horizontal="center"/>
    </xf>
    <xf numFmtId="0" fontId="6" fillId="15" borderId="28" xfId="0" applyFont="1" applyFill="1" applyBorder="1" applyAlignment="1">
      <alignment horizontal="center"/>
    </xf>
  </cellXfs>
  <cellStyles count="12">
    <cellStyle name="20% - Énfasis6" xfId="11" builtinId="50"/>
    <cellStyle name="40% - Énfasis5" xfId="9" builtinId="47"/>
    <cellStyle name="60% - Énfasis2" xfId="7" builtinId="36"/>
    <cellStyle name="60% - Énfasis4" xfId="8" builtinId="44"/>
    <cellStyle name="Bueno" xfId="3" builtinId="26"/>
    <cellStyle name="Énfasis1" xfId="5" builtinId="29"/>
    <cellStyle name="Énfasis2" xfId="6" builtinId="33"/>
    <cellStyle name="Énfasis6" xfId="10" builtinId="49"/>
    <cellStyle name="Incorrecto" xfId="4" builtinId="27"/>
    <cellStyle name="Moneda [0]" xfId="1" builtinId="7"/>
    <cellStyle name="Normal" xfId="0" builtinId="0"/>
    <cellStyle name="Porcentaje" xfId="2" builtinId="5"/>
  </cellStyles>
  <dxfs count="8"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  <dxf>
      <numFmt numFmtId="166" formatCode="&quot;$&quot;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VARIACIÓN VAN SEGÚN INGRESOS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'FLUJO puro'!$F$42:$F$43</c:f>
              <c:strCache>
                <c:ptCount val="2"/>
                <c:pt idx="0">
                  <c:v>VARIACIÓN VARIABLE A SENSIBILIZAR</c:v>
                </c:pt>
                <c:pt idx="1">
                  <c:v>VARIACIÓN INGRESOS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val>
            <c:numRef>
              <c:f>'FLUJO puro'!$F$44:$F$50</c:f>
              <c:numCache>
                <c:formatCode>0%</c:formatCode>
                <c:ptCount val="7"/>
                <c:pt idx="0">
                  <c:v>0.7</c:v>
                </c:pt>
                <c:pt idx="1">
                  <c:v>0.45</c:v>
                </c:pt>
                <c:pt idx="2">
                  <c:v>0.25</c:v>
                </c:pt>
                <c:pt idx="3">
                  <c:v>0</c:v>
                </c:pt>
                <c:pt idx="4">
                  <c:v>-0.25</c:v>
                </c:pt>
                <c:pt idx="5">
                  <c:v>-0.45</c:v>
                </c:pt>
                <c:pt idx="6">
                  <c:v>-0.7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9D-9F42-BF83-0CB4903F6976}"/>
            </c:ext>
          </c:extLst>
        </c:ser>
        <c:ser>
          <c:idx val="2"/>
          <c:order val="1"/>
          <c:tx>
            <c:strRef>
              <c:f>'FLUJO puro'!$H$42:$H$43</c:f>
              <c:strCache>
                <c:ptCount val="2"/>
                <c:pt idx="0">
                  <c:v>VARIACIÓN VARIABLE A SENSIBILIZAR</c:v>
                </c:pt>
                <c:pt idx="1">
                  <c:v>Var. VAN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'FLUJO puro'!$H$44:$H$50</c:f>
              <c:numCache>
                <c:formatCode>0%</c:formatCode>
                <c:ptCount val="7"/>
                <c:pt idx="0">
                  <c:v>1.2307127494566534</c:v>
                </c:pt>
                <c:pt idx="1">
                  <c:v>0.82799380724705363</c:v>
                </c:pt>
                <c:pt idx="2">
                  <c:v>0.5058186534793736</c:v>
                </c:pt>
                <c:pt idx="3">
                  <c:v>0</c:v>
                </c:pt>
                <c:pt idx="4">
                  <c:v>-0.29611732709452537</c:v>
                </c:pt>
                <c:pt idx="5">
                  <c:v>-0.61829248086220534</c:v>
                </c:pt>
                <c:pt idx="6">
                  <c:v>-1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99D-9F42-BF83-0CB4903F69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952271"/>
        <c:axId val="219374079"/>
      </c:lineChart>
      <c:catAx>
        <c:axId val="219952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19374079"/>
        <c:crosses val="autoZero"/>
        <c:auto val="1"/>
        <c:lblAlgn val="ctr"/>
        <c:lblOffset val="100"/>
        <c:noMultiLvlLbl val="0"/>
      </c:catAx>
      <c:valAx>
        <c:axId val="219374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19952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VARIACIÓN VAN SEGÚN EGRESOS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'FLUJO puro'!$B$58:$B$59</c:f>
              <c:strCache>
                <c:ptCount val="2"/>
                <c:pt idx="0">
                  <c:v>VARIACIÓN VARIABLE A SENSIBILIZAR</c:v>
                </c:pt>
                <c:pt idx="1">
                  <c:v>VARIACIÓN EGRESOS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'FLUJO puro'!$B$60:$B$66</c:f>
              <c:numCache>
                <c:formatCode>0%</c:formatCode>
                <c:ptCount val="7"/>
                <c:pt idx="0">
                  <c:v>0.7</c:v>
                </c:pt>
                <c:pt idx="1">
                  <c:v>0.45</c:v>
                </c:pt>
                <c:pt idx="2">
                  <c:v>0.25</c:v>
                </c:pt>
                <c:pt idx="3">
                  <c:v>0</c:v>
                </c:pt>
                <c:pt idx="4">
                  <c:v>-0.25</c:v>
                </c:pt>
                <c:pt idx="5">
                  <c:v>-0.45</c:v>
                </c:pt>
                <c:pt idx="6">
                  <c:v>-0.7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A5-2444-AFFA-766FB5B61F93}"/>
            </c:ext>
          </c:extLst>
        </c:ser>
        <c:ser>
          <c:idx val="2"/>
          <c:order val="1"/>
          <c:tx>
            <c:strRef>
              <c:f>'FLUJO puro'!$D$58:$D$59</c:f>
              <c:strCache>
                <c:ptCount val="2"/>
                <c:pt idx="0">
                  <c:v>VARIACIÓN VARIABLE A SENSIBILIZAR</c:v>
                </c:pt>
                <c:pt idx="1">
                  <c:v>Var. VAN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val>
            <c:numRef>
              <c:f>'FLUJO puro'!$D$60:$D$66</c:f>
              <c:numCache>
                <c:formatCode>0%</c:formatCode>
                <c:ptCount val="7"/>
                <c:pt idx="0">
                  <c:v>-1.2463115625154965E-2</c:v>
                </c:pt>
                <c:pt idx="1">
                  <c:v>2.9559730518455462E-2</c:v>
                </c:pt>
                <c:pt idx="2">
                  <c:v>6.4578768971464154E-2</c:v>
                </c:pt>
                <c:pt idx="3">
                  <c:v>0</c:v>
                </c:pt>
                <c:pt idx="4">
                  <c:v>0.14512255741338415</c:v>
                </c:pt>
                <c:pt idx="5">
                  <c:v>0.18014159586639283</c:v>
                </c:pt>
                <c:pt idx="6">
                  <c:v>0.22216444201000327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A5-2444-AFFA-766FB5B61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8932272"/>
        <c:axId val="1728934000"/>
      </c:lineChart>
      <c:catAx>
        <c:axId val="17289322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728934000"/>
        <c:crosses val="autoZero"/>
        <c:auto val="1"/>
        <c:lblAlgn val="ctr"/>
        <c:lblOffset val="100"/>
        <c:noMultiLvlLbl val="0"/>
      </c:catAx>
      <c:valAx>
        <c:axId val="1728934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728932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VARIACIÓN VAN SEGÚN INGRESOS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'FLUJO puro'!$F$42:$F$43</c:f>
              <c:strCache>
                <c:ptCount val="2"/>
                <c:pt idx="0">
                  <c:v>VARIACIÓN VARIABLE A SENSIBILIZAR</c:v>
                </c:pt>
                <c:pt idx="1">
                  <c:v>VARIACIÓN INGRESOS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val>
            <c:numRef>
              <c:f>'FLUJO puro'!$F$44:$F$50</c:f>
              <c:numCache>
                <c:formatCode>0%</c:formatCode>
                <c:ptCount val="7"/>
                <c:pt idx="0">
                  <c:v>0.7</c:v>
                </c:pt>
                <c:pt idx="1">
                  <c:v>0.45</c:v>
                </c:pt>
                <c:pt idx="2">
                  <c:v>0.25</c:v>
                </c:pt>
                <c:pt idx="3">
                  <c:v>0</c:v>
                </c:pt>
                <c:pt idx="4">
                  <c:v>-0.25</c:v>
                </c:pt>
                <c:pt idx="5">
                  <c:v>-0.45</c:v>
                </c:pt>
                <c:pt idx="6">
                  <c:v>-0.7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11-43E2-BEA5-13FA06B72806}"/>
            </c:ext>
          </c:extLst>
        </c:ser>
        <c:ser>
          <c:idx val="2"/>
          <c:order val="1"/>
          <c:tx>
            <c:strRef>
              <c:f>'FLUJO puro'!$H$42:$H$43</c:f>
              <c:strCache>
                <c:ptCount val="2"/>
                <c:pt idx="0">
                  <c:v>VARIACIÓN VARIABLE A SENSIBILIZAR</c:v>
                </c:pt>
                <c:pt idx="1">
                  <c:v>Var. VAN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'FLUJO puro'!$H$44:$H$50</c:f>
              <c:numCache>
                <c:formatCode>0%</c:formatCode>
                <c:ptCount val="7"/>
                <c:pt idx="0">
                  <c:v>1.2307127494566534</c:v>
                </c:pt>
                <c:pt idx="1">
                  <c:v>0.82799380724705363</c:v>
                </c:pt>
                <c:pt idx="2">
                  <c:v>0.5058186534793736</c:v>
                </c:pt>
                <c:pt idx="3">
                  <c:v>0</c:v>
                </c:pt>
                <c:pt idx="4">
                  <c:v>-0.29611732709452537</c:v>
                </c:pt>
                <c:pt idx="5">
                  <c:v>-0.61829248086220534</c:v>
                </c:pt>
                <c:pt idx="6">
                  <c:v>-1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11-43E2-BEA5-13FA06B728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952271"/>
        <c:axId val="219374079"/>
      </c:lineChart>
      <c:catAx>
        <c:axId val="219952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19374079"/>
        <c:crosses val="autoZero"/>
        <c:auto val="1"/>
        <c:lblAlgn val="ctr"/>
        <c:lblOffset val="100"/>
        <c:noMultiLvlLbl val="0"/>
      </c:catAx>
      <c:valAx>
        <c:axId val="219374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19952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VARIACIÓN VAN SEGÚN EGRESOS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'FLUJO 75%'!$J$43</c:f>
              <c:strCache>
                <c:ptCount val="1"/>
                <c:pt idx="0">
                  <c:v>VAR. EGRESOS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val>
            <c:numRef>
              <c:f>'FLUJO 75%'!$J$44:$J$50</c:f>
              <c:numCache>
                <c:formatCode>0%</c:formatCode>
                <c:ptCount val="7"/>
                <c:pt idx="0">
                  <c:v>0.99</c:v>
                </c:pt>
                <c:pt idx="1">
                  <c:v>0.5</c:v>
                </c:pt>
                <c:pt idx="2">
                  <c:v>0.1</c:v>
                </c:pt>
                <c:pt idx="3">
                  <c:v>0</c:v>
                </c:pt>
                <c:pt idx="4">
                  <c:v>-0.1</c:v>
                </c:pt>
                <c:pt idx="5">
                  <c:v>-0.5</c:v>
                </c:pt>
                <c:pt idx="6">
                  <c:v>-0.99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C3-4425-8A1C-D7CBE622766D}"/>
            </c:ext>
          </c:extLst>
        </c:ser>
        <c:ser>
          <c:idx val="1"/>
          <c:order val="2"/>
          <c:tx>
            <c:strRef>
              <c:f>'FLUJO 75%'!$L$43</c:f>
              <c:strCache>
                <c:ptCount val="1"/>
                <c:pt idx="0">
                  <c:v>Var. VAN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'FLUJO 75%'!$L$44:$L$50</c:f>
              <c:numCache>
                <c:formatCode>0%</c:formatCode>
                <c:ptCount val="7"/>
                <c:pt idx="0">
                  <c:v>-0.2598976957912027</c:v>
                </c:pt>
                <c:pt idx="1">
                  <c:v>-0.44092991408687976</c:v>
                </c:pt>
                <c:pt idx="2">
                  <c:v>-0.59001527033037848</c:v>
                </c:pt>
                <c:pt idx="3">
                  <c:v>-0.62870298156703008</c:v>
                </c:pt>
                <c:pt idx="4">
                  <c:v>-0.66455794845212779</c:v>
                </c:pt>
                <c:pt idx="5">
                  <c:v>-0.81364330469562662</c:v>
                </c:pt>
                <c:pt idx="6">
                  <c:v>-1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5C3-4425-8A1C-D7CBE62276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952271"/>
        <c:axId val="219374079"/>
        <c:extLst>
          <c:ext xmlns:c15="http://schemas.microsoft.com/office/drawing/2012/chart" uri="{02D57815-91ED-43cb-92C2-25804820EDAC}">
            <c15:filteredLineSeries>
              <c15:ser>
                <c:idx val="2"/>
                <c:order val="1"/>
                <c:tx>
                  <c:strRef>
                    <c:extLst>
                      <c:ext uri="{02D57815-91ED-43cb-92C2-25804820EDAC}">
                        <c15:formulaRef>
                          <c15:sqref>'FLUJO 75%'!$K$43</c15:sqref>
                        </c15:formulaRef>
                      </c:ext>
                    </c:extLst>
                    <c:strCache>
                      <c:ptCount val="1"/>
                      <c:pt idx="0">
                        <c:v>VAN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val>
                  <c:numRef>
                    <c:extLst>
                      <c:ext uri="{02D57815-91ED-43cb-92C2-25804820EDAC}">
                        <c15:formulaRef>
                          <c15:sqref>'FLUJO 75%'!$K$44:$K$50</c15:sqref>
                        </c15:formulaRef>
                      </c:ext>
                    </c:extLst>
                    <c:numCache>
                      <c:formatCode>0</c:formatCode>
                      <c:ptCount val="7"/>
                      <c:pt idx="0">
                        <c:v>139</c:v>
                      </c:pt>
                      <c:pt idx="1">
                        <c:v>105</c:v>
                      </c:pt>
                      <c:pt idx="2">
                        <c:v>77</c:v>
                      </c:pt>
                      <c:pt idx="3">
                        <c:v>69.733988488735406</c:v>
                      </c:pt>
                      <c:pt idx="4">
                        <c:v>63</c:v>
                      </c:pt>
                      <c:pt idx="5">
                        <c:v>35</c:v>
                      </c:pt>
                      <c:pt idx="6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E5C3-4425-8A1C-D7CBE622766D}"/>
                  </c:ext>
                </c:extLst>
              </c15:ser>
            </c15:filteredLineSeries>
          </c:ext>
        </c:extLst>
      </c:lineChart>
      <c:catAx>
        <c:axId val="219952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19374079"/>
        <c:crosses val="autoZero"/>
        <c:auto val="1"/>
        <c:lblAlgn val="ctr"/>
        <c:lblOffset val="100"/>
        <c:noMultiLvlLbl val="0"/>
      </c:catAx>
      <c:valAx>
        <c:axId val="219374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19952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VARIACIÓN VAN SEGÚN INGRESOS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'SENSIBILIZACIÓN 75%'!$F$42:$F$43</c:f>
              <c:strCache>
                <c:ptCount val="2"/>
                <c:pt idx="0">
                  <c:v>VARIACIÓN VARIABLE A SENSIBILIZAR</c:v>
                </c:pt>
                <c:pt idx="1">
                  <c:v>VARIACIÓN INGRESOS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val>
            <c:numRef>
              <c:f>'SENSIBILIZACIÓN 75%'!$F$44:$F$50</c:f>
              <c:numCache>
                <c:formatCode>0%</c:formatCode>
                <c:ptCount val="7"/>
                <c:pt idx="0">
                  <c:v>0.7</c:v>
                </c:pt>
                <c:pt idx="1">
                  <c:v>0.45</c:v>
                </c:pt>
                <c:pt idx="2">
                  <c:v>0.25</c:v>
                </c:pt>
                <c:pt idx="3">
                  <c:v>0</c:v>
                </c:pt>
                <c:pt idx="4">
                  <c:v>-0.25</c:v>
                </c:pt>
                <c:pt idx="5">
                  <c:v>-0.45</c:v>
                </c:pt>
                <c:pt idx="6">
                  <c:v>-0.7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81-4E43-BBCC-C4F15E433A69}"/>
            </c:ext>
          </c:extLst>
        </c:ser>
        <c:ser>
          <c:idx val="2"/>
          <c:order val="1"/>
          <c:tx>
            <c:strRef>
              <c:f>'SENSIBILIZACIÓN 75%'!$H$42:$H$43</c:f>
              <c:strCache>
                <c:ptCount val="2"/>
                <c:pt idx="0">
                  <c:v>VARIACIÓN VARIABLE A SENSIBILIZAR</c:v>
                </c:pt>
                <c:pt idx="1">
                  <c:v>Var. VAN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'SENSIBILIZACIÓN 75%'!$H$44:$H$50</c:f>
              <c:numCache>
                <c:formatCode>0%</c:formatCode>
                <c:ptCount val="7"/>
                <c:pt idx="0">
                  <c:v>1.0186402299503849</c:v>
                </c:pt>
                <c:pt idx="1">
                  <c:v>0.6542075353753547</c:v>
                </c:pt>
                <c:pt idx="2">
                  <c:v>0.36266137971533052</c:v>
                </c:pt>
                <c:pt idx="3">
                  <c:v>0</c:v>
                </c:pt>
                <c:pt idx="4">
                  <c:v>-0.36303502948190364</c:v>
                </c:pt>
                <c:pt idx="5">
                  <c:v>-0.65458118514192787</c:v>
                </c:pt>
                <c:pt idx="6">
                  <c:v>-1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281-4E43-BBCC-C4F15E433A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952271"/>
        <c:axId val="219374079"/>
      </c:lineChart>
      <c:catAx>
        <c:axId val="219952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19374079"/>
        <c:crosses val="autoZero"/>
        <c:auto val="1"/>
        <c:lblAlgn val="ctr"/>
        <c:lblOffset val="100"/>
        <c:noMultiLvlLbl val="0"/>
      </c:catAx>
      <c:valAx>
        <c:axId val="2193740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19952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VARIACIÓN VAN SEGÚN EGRESOS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'SENSIBILIZACIÓN 75%'!$B$58:$B$59</c:f>
              <c:strCache>
                <c:ptCount val="2"/>
                <c:pt idx="0">
                  <c:v>VARIACIÓN VARIABLE A SENSIBILIZAR</c:v>
                </c:pt>
                <c:pt idx="1">
                  <c:v>VARIACIÓN EGRESOS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'SENSIBILIZACIÓN 75%'!$B$60:$B$66</c:f>
              <c:numCache>
                <c:formatCode>0%</c:formatCode>
                <c:ptCount val="7"/>
                <c:pt idx="0">
                  <c:v>0.7</c:v>
                </c:pt>
                <c:pt idx="1">
                  <c:v>0.45</c:v>
                </c:pt>
                <c:pt idx="2">
                  <c:v>0.25</c:v>
                </c:pt>
                <c:pt idx="3">
                  <c:v>0</c:v>
                </c:pt>
                <c:pt idx="4">
                  <c:v>-0.25</c:v>
                </c:pt>
                <c:pt idx="5">
                  <c:v>-0.45</c:v>
                </c:pt>
                <c:pt idx="6">
                  <c:v>-0.7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C8-46B7-BD4B-72AE0A104011}"/>
            </c:ext>
          </c:extLst>
        </c:ser>
        <c:ser>
          <c:idx val="2"/>
          <c:order val="1"/>
          <c:tx>
            <c:strRef>
              <c:f>'SENSIBILIZACIÓN 75%'!$D$58:$D$59</c:f>
              <c:strCache>
                <c:ptCount val="2"/>
                <c:pt idx="0">
                  <c:v>VARIACIÓN VARIABLE A SENSIBILIZAR</c:v>
                </c:pt>
                <c:pt idx="1">
                  <c:v>Var. VAN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val>
            <c:numRef>
              <c:f>'SENSIBILIZACIÓN 75%'!$D$60:$D$66</c:f>
              <c:numCache>
                <c:formatCode>0%</c:formatCode>
                <c:ptCount val="7"/>
                <c:pt idx="0">
                  <c:v>-0.10634765330296927</c:v>
                </c:pt>
                <c:pt idx="1">
                  <c:v>-6.8319893869053072E-2</c:v>
                </c:pt>
                <c:pt idx="2">
                  <c:v>-3.6630094340789579E-2</c:v>
                </c:pt>
                <c:pt idx="3">
                  <c:v>0</c:v>
                </c:pt>
                <c:pt idx="4">
                  <c:v>3.6256444574216472E-2</c:v>
                </c:pt>
                <c:pt idx="5">
                  <c:v>6.7946244102479972E-2</c:v>
                </c:pt>
                <c:pt idx="6">
                  <c:v>0.10597400353639617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C8-46B7-BD4B-72AE0A1040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8932272"/>
        <c:axId val="1728934000"/>
      </c:lineChart>
      <c:catAx>
        <c:axId val="17289322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728934000"/>
        <c:crosses val="autoZero"/>
        <c:auto val="1"/>
        <c:lblAlgn val="ctr"/>
        <c:lblOffset val="100"/>
        <c:noMultiLvlLbl val="0"/>
      </c:catAx>
      <c:valAx>
        <c:axId val="1728934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728932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709081</xdr:colOff>
      <xdr:row>36</xdr:row>
      <xdr:rowOff>67734</xdr:rowOff>
    </xdr:from>
    <xdr:to>
      <xdr:col>14</xdr:col>
      <xdr:colOff>761999</xdr:colOff>
      <xdr:row>51</xdr:row>
      <xdr:rowOff>141732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1219E36-5178-060F-6344-18CCC5D2F1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57727</xdr:colOff>
      <xdr:row>60</xdr:row>
      <xdr:rowOff>102095</xdr:rowOff>
    </xdr:from>
    <xdr:to>
      <xdr:col>9</xdr:col>
      <xdr:colOff>554182</xdr:colOff>
      <xdr:row>76</xdr:row>
      <xdr:rowOff>192149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120AE3BF-781F-95A6-5804-A1FA5E7B0A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772584</xdr:colOff>
      <xdr:row>12</xdr:row>
      <xdr:rowOff>190500</xdr:rowOff>
    </xdr:from>
    <xdr:to>
      <xdr:col>16</xdr:col>
      <xdr:colOff>444500</xdr:colOff>
      <xdr:row>19</xdr:row>
      <xdr:rowOff>149756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A85E7F-DC70-EA0D-46AD-98B78A6D4B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71917" y="2688167"/>
          <a:ext cx="2984500" cy="1366839"/>
        </a:xfrm>
        <a:prstGeom prst="rect">
          <a:avLst/>
        </a:prstGeom>
      </xdr:spPr>
    </xdr:pic>
    <xdr:clientData/>
  </xdr:twoCellAnchor>
  <xdr:twoCellAnchor>
    <xdr:from>
      <xdr:col>4</xdr:col>
      <xdr:colOff>743857</xdr:colOff>
      <xdr:row>60</xdr:row>
      <xdr:rowOff>190501</xdr:rowOff>
    </xdr:from>
    <xdr:to>
      <xdr:col>10</xdr:col>
      <xdr:colOff>321660</xdr:colOff>
      <xdr:row>75</xdr:row>
      <xdr:rowOff>169249</xdr:rowOff>
    </xdr:to>
    <xdr:graphicFrame macro="">
      <xdr:nvGraphicFramePr>
        <xdr:cNvPr id="3" name="Gráfico 1">
          <a:extLst>
            <a:ext uri="{FF2B5EF4-FFF2-40B4-BE49-F238E27FC236}">
              <a16:creationId xmlns:a16="http://schemas.microsoft.com/office/drawing/2014/main" id="{C410DD5C-E4A9-414E-9F1E-338D575017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72571</xdr:colOff>
      <xdr:row>40</xdr:row>
      <xdr:rowOff>108857</xdr:rowOff>
    </xdr:from>
    <xdr:to>
      <xdr:col>19</xdr:col>
      <xdr:colOff>684517</xdr:colOff>
      <xdr:row>55</xdr:row>
      <xdr:rowOff>87606</xdr:rowOff>
    </xdr:to>
    <xdr:graphicFrame macro="">
      <xdr:nvGraphicFramePr>
        <xdr:cNvPr id="6" name="Gráfico 1">
          <a:extLst>
            <a:ext uri="{FF2B5EF4-FFF2-40B4-BE49-F238E27FC236}">
              <a16:creationId xmlns:a16="http://schemas.microsoft.com/office/drawing/2014/main" id="{32D310E2-7549-48B9-808A-2ADACBBA34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709081</xdr:colOff>
      <xdr:row>36</xdr:row>
      <xdr:rowOff>67734</xdr:rowOff>
    </xdr:from>
    <xdr:to>
      <xdr:col>14</xdr:col>
      <xdr:colOff>761999</xdr:colOff>
      <xdr:row>51</xdr:row>
      <xdr:rowOff>141732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2FE4868-E5CB-4C07-B552-B3078E878E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57727</xdr:colOff>
      <xdr:row>60</xdr:row>
      <xdr:rowOff>102095</xdr:rowOff>
    </xdr:from>
    <xdr:to>
      <xdr:col>9</xdr:col>
      <xdr:colOff>554182</xdr:colOff>
      <xdr:row>76</xdr:row>
      <xdr:rowOff>192149</xdr:rowOff>
    </xdr:to>
    <xdr:graphicFrame macro="">
      <xdr:nvGraphicFramePr>
        <xdr:cNvPr id="3" name="Gráfico 7">
          <a:extLst>
            <a:ext uri="{FF2B5EF4-FFF2-40B4-BE49-F238E27FC236}">
              <a16:creationId xmlns:a16="http://schemas.microsoft.com/office/drawing/2014/main" id="{D02B30F9-0455-48AA-884E-41C1D8AB27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Elias Henriquez Henriquez (Alumno)" id="{36A36FFF-8A9E-1840-BEF9-A0ED1B4D8550}" userId="S::elias.henriquez@usm.cl::7082874b-f270-4d67-9a05-7b997b436c8e" providerId="AD"/>
</personList>
</file>

<file path=xl/tables/table1.xml><?xml version="1.0" encoding="utf-8"?>
<table xmlns="http://schemas.openxmlformats.org/spreadsheetml/2006/main" id="1" name="Tabla1" displayName="Tabla1" ref="N16:Q18" totalsRowCount="1">
  <autoFilter ref="N16:Q17">
    <filterColumn colId="0" hiddenButton="1"/>
    <filterColumn colId="1" hiddenButton="1"/>
    <filterColumn colId="2" hiddenButton="1"/>
    <filterColumn colId="3" hiddenButton="1"/>
  </autoFilter>
  <tableColumns count="4">
    <tableColumn id="1" name="AÑO 1" totalsRowFunction="custom" dataDxfId="7" totalsRowDxfId="6">
      <calculatedColumnFormula>D8*12</calculatedColumnFormula>
      <totalsRowFormula>'FLUJO puro'!G60</totalsRowFormula>
    </tableColumn>
    <tableColumn id="2" name="AÑO 2" totalsRowFunction="custom" dataDxfId="5" totalsRowDxfId="4">
      <calculatedColumnFormula>N17*$O$6</calculatedColumnFormula>
      <totalsRowFormula>Tabla1[[#Totals],[AÑO 1]]*$O$6</totalsRowFormula>
    </tableColumn>
    <tableColumn id="3" name="AÑO 3" totalsRowFunction="custom" dataDxfId="3" totalsRowDxfId="2">
      <calculatedColumnFormula>O17*$O$6</calculatedColumnFormula>
      <totalsRowFormula>Tabla1[[#Totals],[AÑO 2]]*$O$6</totalsRowFormula>
    </tableColumn>
    <tableColumn id="4" name="AÑO 4" totalsRowFunction="custom" dataDxfId="1" totalsRowDxfId="0">
      <calculatedColumnFormula>P17*$O$6</calculatedColumnFormula>
      <totalsRowFormula>Tabla1[[#Totals],[AÑO 3]]*$O$6</totalsRow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27" dT="2023-11-16T00:16:32.66" personId="{36A36FFF-8A9E-1840-BEF9-A0ED1B4D8550}" id="{643064FA-01A7-B746-BC34-F0C26EDA4D42}">
    <text>VALOR UF AL 14.11.2023 36.486</text>
  </threadedComment>
  <threadedComment ref="F27" dT="2023-11-16T00:16:32.66" personId="{36A36FFF-8A9E-1840-BEF9-A0ED1B4D8550}" id="{B09B29A4-2EAD-6148-AD1D-F0C0C0E054DF}">
    <text>VALOR UF AL 14.11.2023 36.486</text>
  </threadedComment>
  <threadedComment ref="H27" dT="2023-11-16T00:16:32.66" personId="{36A36FFF-8A9E-1840-BEF9-A0ED1B4D8550}" id="{612975CF-87B8-6C4E-87D6-12C44A70EC39}">
    <text>VALOR UF AL 14.11.2023 36.486</text>
  </threadedComment>
  <threadedComment ref="J27" dT="2023-11-16T00:16:32.66" personId="{36A36FFF-8A9E-1840-BEF9-A0ED1B4D8550}" id="{8F75BAF9-3B33-FA4F-8CB9-2557B87FB7C5}">
    <text>VALOR UF AL 14.11.2023 36.486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66"/>
  <sheetViews>
    <sheetView showGridLines="0" zoomScale="70" zoomScaleNormal="70" workbookViewId="0">
      <selection activeCell="C46" sqref="C46"/>
    </sheetView>
  </sheetViews>
  <sheetFormatPr baseColWidth="10" defaultColWidth="10.625" defaultRowHeight="15.75"/>
  <cols>
    <col min="2" max="2" width="28.5" customWidth="1"/>
    <col min="3" max="5" width="12.375" bestFit="1" customWidth="1"/>
    <col min="6" max="6" width="19.375" bestFit="1" customWidth="1"/>
    <col min="7" max="7" width="13.625" bestFit="1" customWidth="1"/>
    <col min="8" max="8" width="16.875" customWidth="1"/>
    <col min="9" max="9" width="17.375" bestFit="1" customWidth="1"/>
    <col min="10" max="12" width="11" bestFit="1" customWidth="1"/>
    <col min="13" max="13" width="11.125" bestFit="1" customWidth="1"/>
  </cols>
  <sheetData>
    <row r="3" spans="2:13" ht="16.5" thickBot="1"/>
    <row r="4" spans="2:13" ht="19.5" thickBot="1">
      <c r="B4" s="85" t="s">
        <v>0</v>
      </c>
      <c r="C4" s="88">
        <v>0.27</v>
      </c>
      <c r="D4" s="89"/>
      <c r="E4" s="89"/>
      <c r="F4" s="89"/>
      <c r="G4" s="89"/>
      <c r="J4" s="294" t="s">
        <v>1</v>
      </c>
      <c r="K4" s="295"/>
      <c r="L4" s="295"/>
      <c r="M4" s="296"/>
    </row>
    <row r="5" spans="2:13" ht="19.5" thickBot="1">
      <c r="B5" s="93"/>
      <c r="C5" s="90" t="s">
        <v>2</v>
      </c>
      <c r="D5" s="91">
        <v>1</v>
      </c>
      <c r="E5" s="92">
        <v>2</v>
      </c>
      <c r="F5" s="91">
        <v>3</v>
      </c>
      <c r="G5" s="91">
        <v>4</v>
      </c>
      <c r="J5" s="94" t="s">
        <v>3</v>
      </c>
      <c r="K5" s="95" t="s">
        <v>4</v>
      </c>
      <c r="L5" s="95" t="s">
        <v>5</v>
      </c>
      <c r="M5" s="96" t="s">
        <v>6</v>
      </c>
    </row>
    <row r="6" spans="2:13" ht="16.5" thickBot="1">
      <c r="B6" s="86" t="s">
        <v>7</v>
      </c>
      <c r="C6" s="248"/>
      <c r="D6" s="247">
        <f>J6/2</f>
        <v>93.905936523598086</v>
      </c>
      <c r="E6" s="247">
        <f>K6</f>
        <v>214.10553527380361</v>
      </c>
      <c r="F6" s="247">
        <f>L6</f>
        <v>244.08031021213608</v>
      </c>
      <c r="G6" s="247">
        <f>M6</f>
        <v>278.25155364183513</v>
      </c>
      <c r="J6" s="97">
        <f>Tabla1[[#Totals],[AÑO 1]]</f>
        <v>187.81187304719617</v>
      </c>
      <c r="K6" s="97">
        <f>Tabla1[[#Totals],[AÑO 2]]</f>
        <v>214.10553527380361</v>
      </c>
      <c r="L6" s="97">
        <f>Tabla1[[#Totals],[AÑO 3]]</f>
        <v>244.08031021213608</v>
      </c>
      <c r="M6" s="97">
        <f>Tabla1[[#Totals],[AÑO 4]]</f>
        <v>278.25155364183513</v>
      </c>
    </row>
    <row r="7" spans="2:13">
      <c r="B7" s="86" t="s">
        <v>8</v>
      </c>
      <c r="C7" s="249"/>
      <c r="D7" s="250">
        <f>-J10</f>
        <v>-69.733988488735406</v>
      </c>
      <c r="E7" s="250">
        <f>-K10</f>
        <v>0</v>
      </c>
      <c r="F7" s="250">
        <f>-L10</f>
        <v>0</v>
      </c>
      <c r="G7" s="250">
        <f>-M10</f>
        <v>0</v>
      </c>
    </row>
    <row r="8" spans="2:13">
      <c r="B8" s="86" t="s">
        <v>9</v>
      </c>
      <c r="C8" s="251"/>
      <c r="D8" s="252">
        <f>SUM(D6:D7)</f>
        <v>24.17194803486268</v>
      </c>
      <c r="E8" s="253">
        <f>SUM(E6:E7)</f>
        <v>214.10553527380361</v>
      </c>
      <c r="F8" s="252">
        <f>SUM(F6:F7)</f>
        <v>244.08031021213608</v>
      </c>
      <c r="G8" s="252">
        <f>SUM(G6:G7)</f>
        <v>278.25155364183513</v>
      </c>
      <c r="J8" s="297" t="s">
        <v>10</v>
      </c>
      <c r="K8" s="297"/>
      <c r="L8" s="297"/>
      <c r="M8" s="297"/>
    </row>
    <row r="9" spans="2:13">
      <c r="B9" s="86" t="s">
        <v>11</v>
      </c>
      <c r="C9" s="249"/>
      <c r="D9" s="250">
        <f>-DEPRECIACIÓN!I25</f>
        <v>-73.994181094454476</v>
      </c>
      <c r="E9" s="250">
        <f>-DEPRECIACIÓN!J25</f>
        <v>-73.994181094454476</v>
      </c>
      <c r="F9" s="250"/>
      <c r="G9" s="250"/>
      <c r="J9" s="101" t="s">
        <v>3</v>
      </c>
      <c r="K9" s="101" t="s">
        <v>4</v>
      </c>
      <c r="L9" s="101" t="s">
        <v>5</v>
      </c>
      <c r="M9" s="101" t="s">
        <v>6</v>
      </c>
    </row>
    <row r="10" spans="2:13">
      <c r="B10" s="86" t="s">
        <v>12</v>
      </c>
      <c r="C10" s="249"/>
      <c r="D10" s="250"/>
      <c r="E10" s="254"/>
      <c r="F10" s="250"/>
      <c r="G10" s="250"/>
      <c r="J10" s="136">
        <f>J60</f>
        <v>69.733988488735406</v>
      </c>
      <c r="K10" s="136"/>
      <c r="L10" s="136"/>
      <c r="M10" s="136"/>
    </row>
    <row r="11" spans="2:13">
      <c r="B11" s="86" t="s">
        <v>13</v>
      </c>
      <c r="C11" s="249"/>
      <c r="D11" s="255"/>
      <c r="E11" s="256"/>
      <c r="F11" s="255"/>
      <c r="G11" s="255"/>
    </row>
    <row r="12" spans="2:13">
      <c r="B12" s="86" t="s">
        <v>14</v>
      </c>
      <c r="C12" s="249"/>
      <c r="D12" s="255"/>
      <c r="E12" s="257">
        <f>D17</f>
        <v>-49.822233059591795</v>
      </c>
      <c r="F12" s="255"/>
      <c r="G12" s="255"/>
    </row>
    <row r="13" spans="2:13">
      <c r="B13" s="86" t="s">
        <v>15</v>
      </c>
      <c r="C13" s="249"/>
      <c r="D13" s="255"/>
      <c r="E13" s="256"/>
      <c r="F13" s="255"/>
      <c r="G13" s="255"/>
    </row>
    <row r="14" spans="2:13">
      <c r="B14" s="86" t="s">
        <v>16</v>
      </c>
      <c r="C14" s="249"/>
      <c r="D14" s="255"/>
      <c r="E14" s="256"/>
      <c r="F14" s="255"/>
      <c r="G14" s="255"/>
    </row>
    <row r="15" spans="2:13">
      <c r="B15" s="86" t="s">
        <v>17</v>
      </c>
      <c r="C15" s="266"/>
      <c r="D15" s="287">
        <f>SUM(D8:D14)</f>
        <v>-49.822233059591795</v>
      </c>
      <c r="E15" s="268">
        <f>SUM(E8:E14)</f>
        <v>90.289121119757326</v>
      </c>
      <c r="F15" s="267">
        <f>SUM(F8:F14)</f>
        <v>244.08031021213608</v>
      </c>
      <c r="G15" s="267">
        <f>SUM(G8:G14)</f>
        <v>278.25155364183513</v>
      </c>
    </row>
    <row r="16" spans="2:13">
      <c r="B16" s="86" t="s">
        <v>18</v>
      </c>
      <c r="C16" s="249"/>
      <c r="D16" s="250">
        <v>0</v>
      </c>
      <c r="E16" s="254">
        <f>-E15*$C$4</f>
        <v>-24.378062702334478</v>
      </c>
      <c r="F16" s="250">
        <f>-F15*$C$4</f>
        <v>-65.901683757276743</v>
      </c>
      <c r="G16" s="250">
        <f>-G15*$C$4</f>
        <v>-75.127919483295486</v>
      </c>
    </row>
    <row r="17" spans="2:13">
      <c r="B17" s="86" t="s">
        <v>19</v>
      </c>
      <c r="C17" s="251"/>
      <c r="D17" s="258">
        <f>SUM(D15:D16)</f>
        <v>-49.822233059591795</v>
      </c>
      <c r="E17" s="259">
        <f>SUM(E15:E16)</f>
        <v>65.911058417422851</v>
      </c>
      <c r="F17" s="258">
        <f>SUM(F15:F16)</f>
        <v>178.17862645485934</v>
      </c>
      <c r="G17" s="258">
        <f>SUM(G15:G16)</f>
        <v>203.12363415853963</v>
      </c>
    </row>
    <row r="18" spans="2:13">
      <c r="B18" s="86" t="s">
        <v>11</v>
      </c>
      <c r="C18" s="249"/>
      <c r="D18" s="255">
        <f>DEPRECIACIÓN!I25</f>
        <v>73.994181094454476</v>
      </c>
      <c r="E18" s="255">
        <f>DEPRECIACIÓN!J25</f>
        <v>73.994181094454476</v>
      </c>
      <c r="F18" s="255"/>
      <c r="G18" s="255"/>
    </row>
    <row r="19" spans="2:13">
      <c r="B19" s="86" t="s">
        <v>14</v>
      </c>
      <c r="C19" s="249"/>
      <c r="D19" s="255"/>
      <c r="E19" s="256">
        <f>-D17</f>
        <v>49.822233059591795</v>
      </c>
      <c r="F19" s="255"/>
      <c r="G19" s="255"/>
    </row>
    <row r="20" spans="2:13">
      <c r="B20" s="86" t="s">
        <v>16</v>
      </c>
      <c r="C20" s="249"/>
      <c r="D20" s="255"/>
      <c r="E20" s="256"/>
      <c r="F20" s="255"/>
      <c r="G20" s="255"/>
    </row>
    <row r="21" spans="2:13">
      <c r="B21" s="86" t="s">
        <v>20</v>
      </c>
      <c r="C21" s="249"/>
      <c r="D21" s="250"/>
      <c r="E21" s="254"/>
      <c r="F21" s="250"/>
      <c r="G21" s="250"/>
    </row>
    <row r="22" spans="2:13">
      <c r="B22" s="86" t="s">
        <v>21</v>
      </c>
      <c r="C22" s="249"/>
      <c r="D22" s="255"/>
      <c r="E22" s="256"/>
      <c r="F22" s="255"/>
      <c r="G22" s="255"/>
    </row>
    <row r="23" spans="2:13">
      <c r="B23" s="86" t="s">
        <v>22</v>
      </c>
      <c r="C23" s="260">
        <f>-'ACTIVOS FIJOS'!I15</f>
        <v>-146.67710712034494</v>
      </c>
      <c r="D23" s="255"/>
      <c r="E23" s="256"/>
      <c r="F23" s="255"/>
      <c r="G23" s="255"/>
    </row>
    <row r="24" spans="2:13" ht="31.5">
      <c r="B24" s="86" t="s">
        <v>23</v>
      </c>
      <c r="C24" s="260">
        <f>-'ACTIVOS FIJOS'!I16</f>
        <v>-36.669276780086236</v>
      </c>
      <c r="D24" s="255"/>
      <c r="E24" s="256"/>
      <c r="F24" s="255"/>
      <c r="G24" s="255"/>
    </row>
    <row r="25" spans="2:13">
      <c r="B25" s="86" t="s">
        <v>24</v>
      </c>
      <c r="C25" s="261"/>
      <c r="D25" s="255"/>
      <c r="E25" s="256"/>
      <c r="F25" s="255"/>
      <c r="G25" s="255"/>
    </row>
    <row r="26" spans="2:13">
      <c r="B26" s="86" t="s">
        <v>25</v>
      </c>
      <c r="C26" s="249"/>
      <c r="D26" s="255"/>
      <c r="E26" s="256"/>
      <c r="F26" s="255"/>
      <c r="G26" s="255"/>
    </row>
    <row r="27" spans="2:13">
      <c r="B27" s="86" t="s">
        <v>26</v>
      </c>
      <c r="C27" s="249"/>
      <c r="D27" s="255"/>
      <c r="E27" s="256"/>
      <c r="F27" s="255"/>
      <c r="G27" s="255"/>
    </row>
    <row r="28" spans="2:13">
      <c r="B28" s="86" t="s">
        <v>27</v>
      </c>
      <c r="C28" s="249"/>
      <c r="D28" s="255">
        <f>'ACTIVOS FIJOS'!D26</f>
        <v>27.86865035286554</v>
      </c>
      <c r="E28" s="256"/>
      <c r="F28" s="255"/>
      <c r="G28" s="255"/>
    </row>
    <row r="29" spans="2:13">
      <c r="B29" s="86" t="s">
        <v>28</v>
      </c>
      <c r="C29" s="262">
        <f>SUM(C17:C28)</f>
        <v>-183.34638390043119</v>
      </c>
      <c r="D29" s="252">
        <f>SUM(D17:D28)</f>
        <v>52.040598387728224</v>
      </c>
      <c r="E29" s="253">
        <f>SUM(E17:E28)</f>
        <v>189.72747257146909</v>
      </c>
      <c r="F29" s="252">
        <f>SUM(F17:F28)</f>
        <v>178.17862645485934</v>
      </c>
      <c r="G29" s="252">
        <f>SUM(G17:G28)</f>
        <v>203.12363415853963</v>
      </c>
    </row>
    <row r="30" spans="2:13">
      <c r="B30" s="86" t="s">
        <v>29</v>
      </c>
      <c r="C30" s="260"/>
      <c r="D30" s="255"/>
      <c r="E30" s="256"/>
      <c r="F30" s="255"/>
      <c r="G30" s="255"/>
    </row>
    <row r="31" spans="2:13">
      <c r="B31" s="86" t="s">
        <v>30</v>
      </c>
      <c r="C31" s="260"/>
      <c r="D31" s="255"/>
      <c r="E31" s="256"/>
      <c r="F31" s="255"/>
      <c r="G31" s="255"/>
      <c r="J31" s="298" t="s">
        <v>31</v>
      </c>
      <c r="K31" s="299"/>
      <c r="L31" s="299"/>
      <c r="M31" s="300"/>
    </row>
    <row r="32" spans="2:13">
      <c r="B32" s="86" t="s">
        <v>32</v>
      </c>
      <c r="C32" s="262">
        <f>SUM(C29:C31)</f>
        <v>-183.34638390043119</v>
      </c>
      <c r="D32" s="252">
        <f>SUM(D29:D31)</f>
        <v>52.040598387728224</v>
      </c>
      <c r="E32" s="253">
        <f>SUM(E29:E31)</f>
        <v>189.72747257146909</v>
      </c>
      <c r="F32" s="252">
        <f>SUM(F29:F31)</f>
        <v>178.17862645485934</v>
      </c>
      <c r="G32" s="252">
        <f>SUM(G29:G31)</f>
        <v>203.12363415853963</v>
      </c>
      <c r="J32" s="164" t="s">
        <v>33</v>
      </c>
      <c r="K32" s="164" t="s">
        <v>34</v>
      </c>
      <c r="L32" s="164" t="s">
        <v>35</v>
      </c>
      <c r="M32" s="164" t="s">
        <v>36</v>
      </c>
    </row>
    <row r="33" spans="2:13" ht="31.5">
      <c r="B33" s="86" t="s">
        <v>37</v>
      </c>
      <c r="C33" s="262">
        <f>C32</f>
        <v>-183.34638390043119</v>
      </c>
      <c r="D33" s="258">
        <f>D32/(1+$C$40)^D5</f>
        <v>47.027470077469928</v>
      </c>
      <c r="E33" s="258">
        <f>E32/(1+$C$40)^E5</f>
        <v>154.93476922624507</v>
      </c>
      <c r="F33" s="258">
        <f>F32/(1+$C$40)^F5</f>
        <v>131.48723991816726</v>
      </c>
      <c r="G33" s="258">
        <f>G32/(1+$C$40)^G5</f>
        <v>135.45585894334957</v>
      </c>
      <c r="J33" s="165">
        <f>C45</f>
        <v>285.55895426480055</v>
      </c>
      <c r="K33" s="166">
        <f>C46</f>
        <v>0.59193903038601459</v>
      </c>
      <c r="L33" s="167">
        <v>2</v>
      </c>
      <c r="M33" s="168">
        <f>C48</f>
        <v>1.5574834266700199</v>
      </c>
    </row>
    <row r="34" spans="2:13" ht="32.25" thickBot="1">
      <c r="B34" s="87" t="s">
        <v>38</v>
      </c>
      <c r="C34" s="263">
        <f>C33</f>
        <v>-183.34638390043119</v>
      </c>
      <c r="D34" s="286">
        <f>C34+D33</f>
        <v>-136.31891382296126</v>
      </c>
      <c r="E34" s="265">
        <f>D34+E33</f>
        <v>18.615855403283803</v>
      </c>
      <c r="F34" s="264">
        <f>E34+F33</f>
        <v>150.10309532145106</v>
      </c>
      <c r="G34" s="264">
        <f>F34+G33</f>
        <v>285.5589542648006</v>
      </c>
    </row>
    <row r="39" spans="2:13" ht="16.5" thickBot="1"/>
    <row r="40" spans="2:13" ht="16.5" thickBot="1">
      <c r="B40" s="127" t="s">
        <v>39</v>
      </c>
      <c r="C40" s="128">
        <v>0.1066</v>
      </c>
    </row>
    <row r="41" spans="2:13" ht="16.5" thickBot="1">
      <c r="B41" s="125" t="s">
        <v>40</v>
      </c>
      <c r="C41" s="126">
        <v>3.2800000000000003E-2</v>
      </c>
      <c r="J41" s="301"/>
      <c r="K41" s="301"/>
      <c r="L41" s="301"/>
      <c r="M41" s="301"/>
    </row>
    <row r="42" spans="2:13" ht="16.5" thickBot="1">
      <c r="B42" s="116" t="s">
        <v>41</v>
      </c>
      <c r="C42" s="117">
        <v>0.1</v>
      </c>
      <c r="F42" s="291" t="s">
        <v>42</v>
      </c>
      <c r="G42" s="292"/>
      <c r="H42" s="293"/>
      <c r="J42" s="230"/>
    </row>
    <row r="43" spans="2:13" ht="16.5" thickBot="1">
      <c r="B43" s="116" t="s">
        <v>43</v>
      </c>
      <c r="C43" s="118"/>
      <c r="F43" s="225" t="s">
        <v>44</v>
      </c>
      <c r="G43" s="226" t="s">
        <v>33</v>
      </c>
      <c r="H43" s="227" t="s">
        <v>45</v>
      </c>
    </row>
    <row r="44" spans="2:13" ht="16.5" thickBot="1">
      <c r="B44" s="119"/>
      <c r="C44" s="119"/>
      <c r="F44" s="228">
        <v>0.7</v>
      </c>
      <c r="G44" s="103">
        <v>637</v>
      </c>
      <c r="H44" s="222">
        <f>(G44-$G$47)/$G$47</f>
        <v>1.2307127494566534</v>
      </c>
    </row>
    <row r="45" spans="2:13" ht="16.5" thickBot="1">
      <c r="B45" s="116" t="s">
        <v>33</v>
      </c>
      <c r="C45" s="120">
        <f>NPV(C40,D32:G32)+C32</f>
        <v>285.55895426480055</v>
      </c>
      <c r="F45" s="228">
        <v>0.45</v>
      </c>
      <c r="G45" s="103">
        <v>522</v>
      </c>
      <c r="H45" s="222">
        <f t="shared" ref="H45:H50" si="0">(G45-$G$47)/$G$47</f>
        <v>0.82799380724705363</v>
      </c>
    </row>
    <row r="46" spans="2:13" ht="16.5" thickBot="1">
      <c r="B46" s="116" t="s">
        <v>34</v>
      </c>
      <c r="C46" s="129">
        <f>IRR(C32:G32)</f>
        <v>0.59193903038601459</v>
      </c>
      <c r="F46" s="228">
        <v>0.25</v>
      </c>
      <c r="G46" s="103">
        <v>430</v>
      </c>
      <c r="H46" s="222">
        <f t="shared" si="0"/>
        <v>0.5058186534793736</v>
      </c>
    </row>
    <row r="47" spans="2:13" ht="16.5" thickBot="1">
      <c r="B47" s="162" t="s">
        <v>35</v>
      </c>
      <c r="C47" s="159">
        <v>2</v>
      </c>
      <c r="F47" s="228">
        <v>0</v>
      </c>
      <c r="G47" s="103">
        <f>C45</f>
        <v>285.55895426480055</v>
      </c>
      <c r="H47" s="222">
        <f t="shared" si="0"/>
        <v>0</v>
      </c>
    </row>
    <row r="48" spans="2:13" ht="16.5" thickBot="1">
      <c r="B48" s="163" t="s">
        <v>36</v>
      </c>
      <c r="C48" s="161">
        <f>C45/(-C34)</f>
        <v>1.5574834266700199</v>
      </c>
      <c r="F48" s="228">
        <v>-0.25</v>
      </c>
      <c r="G48" s="103">
        <v>201</v>
      </c>
      <c r="H48" s="222">
        <f t="shared" si="0"/>
        <v>-0.29611732709452537</v>
      </c>
    </row>
    <row r="49" spans="2:10" ht="16.5" thickBot="1">
      <c r="B49" s="160"/>
      <c r="C49" s="160"/>
      <c r="F49" s="228">
        <v>-0.45</v>
      </c>
      <c r="G49" s="103">
        <v>109</v>
      </c>
      <c r="H49" s="222">
        <f t="shared" si="0"/>
        <v>-0.61829248086220534</v>
      </c>
    </row>
    <row r="50" spans="2:10" ht="16.5" thickBot="1">
      <c r="B50" s="122" t="s">
        <v>44</v>
      </c>
      <c r="C50" s="123">
        <v>0</v>
      </c>
      <c r="F50" s="229">
        <v>-0.7</v>
      </c>
      <c r="G50" s="223">
        <v>0</v>
      </c>
      <c r="H50" s="224">
        <f t="shared" si="0"/>
        <v>-1</v>
      </c>
    </row>
    <row r="51" spans="2:10" ht="16.5" thickBot="1">
      <c r="B51" s="122" t="s">
        <v>46</v>
      </c>
      <c r="C51" s="123">
        <v>0</v>
      </c>
    </row>
    <row r="52" spans="2:10" ht="16.5" thickBot="1">
      <c r="B52" s="122" t="s">
        <v>47</v>
      </c>
      <c r="C52" s="123">
        <v>0</v>
      </c>
      <c r="F52" s="84">
        <v>0.01</v>
      </c>
      <c r="G52" s="220">
        <v>67.3</v>
      </c>
      <c r="H52" s="221">
        <f>(G52-$G$47)/$G$47</f>
        <v>-0.7643218712112515</v>
      </c>
    </row>
    <row r="53" spans="2:10" ht="16.5" thickBot="1">
      <c r="B53" s="240" t="s">
        <v>48</v>
      </c>
      <c r="C53" s="123">
        <v>0</v>
      </c>
    </row>
    <row r="54" spans="2:10" ht="16.5" thickBot="1">
      <c r="B54" s="241" t="s">
        <v>49</v>
      </c>
      <c r="C54" s="239">
        <v>0</v>
      </c>
    </row>
    <row r="56" spans="2:10">
      <c r="G56" s="231" t="s">
        <v>7</v>
      </c>
      <c r="I56" s="232" t="s">
        <v>50</v>
      </c>
      <c r="J56" s="231" t="s">
        <v>51</v>
      </c>
    </row>
    <row r="57" spans="2:10" ht="16.5" thickBot="1">
      <c r="B57">
        <v>-17</v>
      </c>
      <c r="G57" s="233">
        <f>'INGRESOS - EGRESOS'!N19</f>
        <v>187.81187304719617</v>
      </c>
      <c r="I57" s="232"/>
      <c r="J57" s="234">
        <f>'INGRESOS - EGRESOS'!C54</f>
        <v>69.733988488735406</v>
      </c>
    </row>
    <row r="58" spans="2:10" ht="16.5" thickBot="1">
      <c r="B58" s="291" t="s">
        <v>42</v>
      </c>
      <c r="C58" s="292"/>
      <c r="D58" s="293"/>
      <c r="F58" s="231" t="s">
        <v>52</v>
      </c>
      <c r="G58" s="235">
        <f>C50</f>
        <v>0</v>
      </c>
      <c r="I58" s="231" t="s">
        <v>52</v>
      </c>
      <c r="J58" s="235">
        <f>C51</f>
        <v>0</v>
      </c>
    </row>
    <row r="59" spans="2:10">
      <c r="B59" s="225" t="s">
        <v>53</v>
      </c>
      <c r="C59" s="226" t="s">
        <v>33</v>
      </c>
      <c r="D59" s="227" t="s">
        <v>45</v>
      </c>
      <c r="F59" s="231" t="s">
        <v>54</v>
      </c>
      <c r="G59" s="232"/>
      <c r="I59" s="231" t="s">
        <v>54</v>
      </c>
      <c r="J59" s="232"/>
    </row>
    <row r="60" spans="2:10">
      <c r="B60" s="228">
        <v>0.7</v>
      </c>
      <c r="C60" s="103">
        <v>282</v>
      </c>
      <c r="D60" s="222">
        <f>(C60-$G$47)/$G$47</f>
        <v>-1.2463115625154965E-2</v>
      </c>
      <c r="F60" s="231" t="s">
        <v>3</v>
      </c>
      <c r="G60" s="233">
        <f>G57*(1+C50)</f>
        <v>187.81187304719617</v>
      </c>
      <c r="I60" s="231" t="s">
        <v>3</v>
      </c>
      <c r="J60" s="234">
        <f>J57*(1+C51)</f>
        <v>69.733988488735406</v>
      </c>
    </row>
    <row r="61" spans="2:10">
      <c r="B61" s="228">
        <v>0.45</v>
      </c>
      <c r="C61" s="103">
        <v>294</v>
      </c>
      <c r="D61" s="222">
        <f t="shared" ref="D61:D66" si="1">(C61-$G$47)/$G$47</f>
        <v>2.9559730518455462E-2</v>
      </c>
    </row>
    <row r="62" spans="2:10">
      <c r="B62" s="228">
        <v>0.25</v>
      </c>
      <c r="C62" s="103">
        <v>304</v>
      </c>
      <c r="D62" s="222">
        <f t="shared" si="1"/>
        <v>6.4578768971464154E-2</v>
      </c>
    </row>
    <row r="63" spans="2:10">
      <c r="B63" s="228">
        <v>0</v>
      </c>
      <c r="C63" s="103">
        <f>G47</f>
        <v>285.55895426480055</v>
      </c>
      <c r="D63" s="222">
        <f t="shared" si="1"/>
        <v>0</v>
      </c>
    </row>
    <row r="64" spans="2:10">
      <c r="B64" s="228">
        <v>-0.25</v>
      </c>
      <c r="C64" s="103">
        <v>327</v>
      </c>
      <c r="D64" s="222">
        <f t="shared" si="1"/>
        <v>0.14512255741338415</v>
      </c>
    </row>
    <row r="65" spans="2:4">
      <c r="B65" s="228">
        <v>-0.45</v>
      </c>
      <c r="C65" s="103">
        <v>337</v>
      </c>
      <c r="D65" s="222">
        <f t="shared" si="1"/>
        <v>0.18014159586639283</v>
      </c>
    </row>
    <row r="66" spans="2:4" ht="16.5" thickBot="1">
      <c r="B66" s="229">
        <v>-0.7</v>
      </c>
      <c r="C66" s="223">
        <v>349</v>
      </c>
      <c r="D66" s="224">
        <f t="shared" si="1"/>
        <v>0.22216444201000327</v>
      </c>
    </row>
  </sheetData>
  <mergeCells count="6">
    <mergeCell ref="B58:D58"/>
    <mergeCell ref="J4:M4"/>
    <mergeCell ref="J8:M8"/>
    <mergeCell ref="J31:M31"/>
    <mergeCell ref="F42:H42"/>
    <mergeCell ref="J41:M41"/>
  </mergeCells>
  <pageMargins left="0.7" right="0.7" top="0.75" bottom="0.75" header="0.3" footer="0.3"/>
  <pageSetup orientation="portrait" r:id="rId1"/>
  <headerFooter>
    <oddFooter>&amp;C&amp;1#&amp;"Calibri"&amp;6&amp;K000000Public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9" sqref="E9"/>
    </sheetView>
  </sheetViews>
  <sheetFormatPr baseColWidth="10" defaultColWidth="10.625" defaultRowHeight="15.75"/>
  <sheetData/>
  <pageMargins left="0.7" right="0.7" top="0.75" bottom="0.75" header="0.3" footer="0.3"/>
  <pageSetup orientation="portrait" r:id="rId1"/>
  <headerFooter>
    <oddFooter>&amp;C&amp;1#&amp;"Calibri"&amp;6&amp;K000000Public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N54"/>
  <sheetViews>
    <sheetView showGridLines="0" topLeftCell="A43" zoomScaleNormal="100" workbookViewId="0">
      <selection activeCell="I47" sqref="I47:N51"/>
    </sheetView>
  </sheetViews>
  <sheetFormatPr baseColWidth="10" defaultColWidth="10.625" defaultRowHeight="15.75"/>
  <cols>
    <col min="2" max="2" width="28.5" customWidth="1"/>
    <col min="3" max="3" width="12.375" bestFit="1" customWidth="1"/>
    <col min="4" max="4" width="13.625" bestFit="1" customWidth="1"/>
    <col min="5" max="5" width="16.5" customWidth="1"/>
    <col min="6" max="6" width="12.375" bestFit="1" customWidth="1"/>
    <col min="7" max="7" width="13.625" bestFit="1" customWidth="1"/>
    <col min="9" max="9" width="13.125" bestFit="1" customWidth="1"/>
    <col min="10" max="12" width="11" bestFit="1" customWidth="1"/>
    <col min="13" max="13" width="11.125" bestFit="1" customWidth="1"/>
  </cols>
  <sheetData>
    <row r="3" spans="2:13" ht="16.5" thickBot="1"/>
    <row r="4" spans="2:13" ht="19.5" thickBot="1">
      <c r="B4" s="85" t="s">
        <v>0</v>
      </c>
      <c r="C4" s="88">
        <v>0.27</v>
      </c>
      <c r="D4" s="89"/>
      <c r="E4" s="89"/>
      <c r="F4" s="89"/>
      <c r="G4" s="89"/>
      <c r="J4" s="294" t="s">
        <v>1</v>
      </c>
      <c r="K4" s="295"/>
      <c r="L4" s="295"/>
      <c r="M4" s="296"/>
    </row>
    <row r="5" spans="2:13" ht="19.5" thickBot="1">
      <c r="B5" s="93"/>
      <c r="C5" s="90" t="s">
        <v>2</v>
      </c>
      <c r="D5" s="91">
        <v>1</v>
      </c>
      <c r="E5" s="92">
        <v>2</v>
      </c>
      <c r="F5" s="91">
        <v>3</v>
      </c>
      <c r="G5" s="91">
        <v>4</v>
      </c>
      <c r="J5" s="94" t="s">
        <v>3</v>
      </c>
      <c r="K5" s="95" t="s">
        <v>4</v>
      </c>
      <c r="L5" s="95" t="s">
        <v>5</v>
      </c>
      <c r="M5" s="96" t="s">
        <v>6</v>
      </c>
    </row>
    <row r="6" spans="2:13" ht="16.5" thickBot="1">
      <c r="B6" s="86" t="s">
        <v>7</v>
      </c>
      <c r="C6" s="137"/>
      <c r="D6" s="247">
        <f>J6/2</f>
        <v>93.905936523598086</v>
      </c>
      <c r="E6" s="247">
        <f>K6</f>
        <v>214.10553527380361</v>
      </c>
      <c r="F6" s="247">
        <f>L6</f>
        <v>244.08031021213611</v>
      </c>
      <c r="G6" s="247">
        <f>M6</f>
        <v>278.25155364183524</v>
      </c>
      <c r="J6" s="97">
        <f>'INGRESOS - EGRESOS'!D21</f>
        <v>187.81187304719617</v>
      </c>
      <c r="K6" s="98">
        <f>'INGRESOS - EGRESOS'!F21</f>
        <v>214.10553527380361</v>
      </c>
      <c r="L6" s="98">
        <f>'INGRESOS - EGRESOS'!H21</f>
        <v>244.08031021213611</v>
      </c>
      <c r="M6" s="99">
        <f>'INGRESOS - EGRESOS'!J21</f>
        <v>278.25155364183524</v>
      </c>
    </row>
    <row r="7" spans="2:13">
      <c r="B7" s="86" t="s">
        <v>8</v>
      </c>
      <c r="C7" s="138"/>
      <c r="D7" s="139">
        <f>-J10</f>
        <v>-69.733988488735406</v>
      </c>
      <c r="E7" s="139">
        <f>-K10</f>
        <v>0</v>
      </c>
      <c r="F7" s="139">
        <f>-L10</f>
        <v>0</v>
      </c>
      <c r="G7" s="139">
        <f>-M10</f>
        <v>0</v>
      </c>
    </row>
    <row r="8" spans="2:13">
      <c r="B8" s="86" t="s">
        <v>9</v>
      </c>
      <c r="C8" s="140"/>
      <c r="D8" s="141">
        <f>SUM(D6:D7)</f>
        <v>24.17194803486268</v>
      </c>
      <c r="E8" s="142">
        <f>SUM(E6:E7)</f>
        <v>214.10553527380361</v>
      </c>
      <c r="F8" s="141">
        <f>SUM(F6:F7)</f>
        <v>244.08031021213611</v>
      </c>
      <c r="G8" s="141">
        <f>SUM(G6:G7)</f>
        <v>278.25155364183524</v>
      </c>
      <c r="J8" s="297" t="s">
        <v>10</v>
      </c>
      <c r="K8" s="297"/>
      <c r="L8" s="297"/>
      <c r="M8" s="297"/>
    </row>
    <row r="9" spans="2:13">
      <c r="B9" s="86" t="s">
        <v>11</v>
      </c>
      <c r="C9" s="138"/>
      <c r="D9" s="139">
        <f>-DEPRECIACIÓN!I25</f>
        <v>-73.994181094454476</v>
      </c>
      <c r="E9" s="139">
        <f>-DEPRECIACIÓN!J25</f>
        <v>-73.994181094454476</v>
      </c>
      <c r="F9" s="143"/>
      <c r="G9" s="139"/>
      <c r="J9" s="101" t="s">
        <v>3</v>
      </c>
      <c r="K9" s="101" t="s">
        <v>4</v>
      </c>
      <c r="L9" s="101" t="s">
        <v>5</v>
      </c>
      <c r="M9" s="101" t="s">
        <v>6</v>
      </c>
    </row>
    <row r="10" spans="2:13">
      <c r="B10" s="86" t="s">
        <v>12</v>
      </c>
      <c r="C10" s="138"/>
      <c r="D10" s="139">
        <f>-K44</f>
        <v>-2.2918297987553902</v>
      </c>
      <c r="E10" s="139">
        <f>-L44</f>
        <v>-1.7600981671309268</v>
      </c>
      <c r="F10" s="139">
        <f>-M44</f>
        <v>-1.2017799539252403</v>
      </c>
      <c r="G10" s="139">
        <f>-N44</f>
        <v>-0.61554583005926933</v>
      </c>
      <c r="J10" s="136">
        <f>'INGRESOS - EGRESOS'!C52</f>
        <v>69.733988488735406</v>
      </c>
      <c r="K10" s="136"/>
      <c r="L10" s="136"/>
      <c r="M10" s="136"/>
    </row>
    <row r="11" spans="2:13">
      <c r="B11" s="86" t="s">
        <v>13</v>
      </c>
      <c r="C11" s="138"/>
      <c r="D11" s="145"/>
      <c r="E11" s="146"/>
      <c r="F11" s="145"/>
      <c r="G11" s="145"/>
    </row>
    <row r="12" spans="2:13">
      <c r="B12" s="86" t="s">
        <v>14</v>
      </c>
      <c r="C12" s="138"/>
      <c r="D12" s="145"/>
      <c r="E12" s="147">
        <f>D17</f>
        <v>-52.114062858347182</v>
      </c>
      <c r="F12" s="145"/>
      <c r="G12" s="145"/>
    </row>
    <row r="13" spans="2:13">
      <c r="B13" s="86" t="s">
        <v>15</v>
      </c>
      <c r="C13" s="138"/>
      <c r="D13" s="145"/>
      <c r="E13" s="146"/>
      <c r="F13" s="145"/>
      <c r="G13" s="145"/>
    </row>
    <row r="14" spans="2:13">
      <c r="B14" s="86" t="s">
        <v>16</v>
      </c>
      <c r="C14" s="138"/>
      <c r="D14" s="145"/>
      <c r="E14" s="146"/>
      <c r="F14" s="145"/>
      <c r="G14" s="145"/>
    </row>
    <row r="15" spans="2:13">
      <c r="B15" s="86" t="s">
        <v>17</v>
      </c>
      <c r="C15" s="269"/>
      <c r="D15" s="270">
        <f>SUM(D8:D14)</f>
        <v>-52.114062858347182</v>
      </c>
      <c r="E15" s="271">
        <f>SUM(E8:E14)</f>
        <v>86.237193153871004</v>
      </c>
      <c r="F15" s="270">
        <f>SUM(F8:F14)</f>
        <v>242.87853025821087</v>
      </c>
      <c r="G15" s="270">
        <f>SUM(G8:G14)</f>
        <v>277.63600781177598</v>
      </c>
    </row>
    <row r="16" spans="2:13">
      <c r="B16" s="86" t="s">
        <v>18</v>
      </c>
      <c r="C16" s="138"/>
      <c r="D16" s="139">
        <v>0</v>
      </c>
      <c r="E16" s="144">
        <f>-E15*$C$4</f>
        <v>-23.284042151545172</v>
      </c>
      <c r="F16" s="139">
        <f>-F15*$C$4</f>
        <v>-65.577203169716938</v>
      </c>
      <c r="G16" s="139">
        <f>-G15*$C$4</f>
        <v>-74.961722109179519</v>
      </c>
    </row>
    <row r="17" spans="2:7">
      <c r="B17" s="86" t="s">
        <v>19</v>
      </c>
      <c r="C17" s="140"/>
      <c r="D17" s="148">
        <f>SUM(D15:D16)</f>
        <v>-52.114062858347182</v>
      </c>
      <c r="E17" s="149">
        <f>SUM(E15:E16)</f>
        <v>62.953151002325832</v>
      </c>
      <c r="F17" s="148">
        <f>SUM(F15:F16)</f>
        <v>177.30132708849393</v>
      </c>
      <c r="G17" s="148">
        <f>SUM(G15:G16)</f>
        <v>202.67428570259648</v>
      </c>
    </row>
    <row r="18" spans="2:7">
      <c r="B18" s="86" t="s">
        <v>11</v>
      </c>
      <c r="C18" s="138"/>
      <c r="D18" s="255">
        <f>DEPRECIACIÓN!I25</f>
        <v>73.994181094454476</v>
      </c>
      <c r="E18" s="255">
        <f>DEPRECIACIÓN!J25</f>
        <v>73.994181094454476</v>
      </c>
      <c r="F18" s="150"/>
      <c r="G18" s="145"/>
    </row>
    <row r="19" spans="2:7">
      <c r="B19" s="86" t="s">
        <v>14</v>
      </c>
      <c r="C19" s="138"/>
      <c r="D19" s="145"/>
      <c r="E19" s="146">
        <f>-D17</f>
        <v>52.114062858347182</v>
      </c>
      <c r="F19" s="145"/>
      <c r="G19" s="145"/>
    </row>
    <row r="20" spans="2:7">
      <c r="B20" s="86" t="s">
        <v>16</v>
      </c>
      <c r="C20" s="138"/>
      <c r="D20" s="145"/>
      <c r="E20" s="146"/>
      <c r="F20" s="145"/>
      <c r="G20" s="145"/>
    </row>
    <row r="21" spans="2:7">
      <c r="B21" s="86" t="s">
        <v>20</v>
      </c>
      <c r="C21" s="138"/>
      <c r="D21" s="139">
        <f>-K45</f>
        <v>-10.634632632489266</v>
      </c>
      <c r="E21" s="139">
        <f>-L45</f>
        <v>-11.16636426411373</v>
      </c>
      <c r="F21" s="139">
        <f>-M45</f>
        <v>-11.724682477319416</v>
      </c>
      <c r="G21" s="139">
        <f>-N45</f>
        <v>-12.310916601185387</v>
      </c>
    </row>
    <row r="22" spans="2:7">
      <c r="B22" s="86" t="s">
        <v>21</v>
      </c>
      <c r="C22" s="138"/>
      <c r="D22" s="145"/>
      <c r="E22" s="146"/>
      <c r="F22" s="145"/>
      <c r="G22" s="145"/>
    </row>
    <row r="23" spans="2:7">
      <c r="B23" s="86" t="s">
        <v>22</v>
      </c>
      <c r="C23" s="151">
        <f>-'ACTIVOS FIJOS'!I15</f>
        <v>-146.67710712034494</v>
      </c>
      <c r="D23" s="145"/>
      <c r="E23" s="146"/>
      <c r="F23" s="145"/>
      <c r="G23" s="145"/>
    </row>
    <row r="24" spans="2:7" ht="31.5">
      <c r="B24" s="86" t="s">
        <v>23</v>
      </c>
      <c r="C24" s="151">
        <f>-'ACTIVOS FIJOS'!I16</f>
        <v>-36.669276780086236</v>
      </c>
      <c r="D24" s="145"/>
      <c r="E24" s="146"/>
      <c r="F24" s="145"/>
      <c r="G24" s="145"/>
    </row>
    <row r="25" spans="2:7">
      <c r="B25" s="86" t="s">
        <v>24</v>
      </c>
      <c r="C25" s="152"/>
      <c r="D25" s="145"/>
      <c r="E25" s="146"/>
      <c r="F25" s="145"/>
      <c r="G25" s="145"/>
    </row>
    <row r="26" spans="2:7">
      <c r="B26" s="86" t="s">
        <v>25</v>
      </c>
      <c r="C26" s="138"/>
      <c r="D26" s="145"/>
      <c r="E26" s="146"/>
      <c r="F26" s="145"/>
      <c r="G26" s="145"/>
    </row>
    <row r="27" spans="2:7">
      <c r="B27" s="86" t="s">
        <v>26</v>
      </c>
      <c r="C27" s="138"/>
      <c r="D27" s="145"/>
      <c r="E27" s="146"/>
      <c r="F27" s="145"/>
      <c r="G27" s="145"/>
    </row>
    <row r="28" spans="2:7">
      <c r="B28" s="86" t="s">
        <v>27</v>
      </c>
      <c r="C28" s="138"/>
      <c r="D28" s="145">
        <f>'ACTIVOS FIJOS'!D26</f>
        <v>27.86865035286554</v>
      </c>
      <c r="E28" s="146"/>
      <c r="F28" s="145"/>
      <c r="G28" s="145"/>
    </row>
    <row r="29" spans="2:7">
      <c r="B29" s="86" t="s">
        <v>28</v>
      </c>
      <c r="C29" s="153">
        <f>SUM(C17:C28)</f>
        <v>-183.34638390043119</v>
      </c>
      <c r="D29" s="141">
        <f>SUM(D17:D28)</f>
        <v>39.114135956483565</v>
      </c>
      <c r="E29" s="142">
        <f>SUM(E17:E28)</f>
        <v>177.89503069101377</v>
      </c>
      <c r="F29" s="141">
        <f>SUM(F17:F28)</f>
        <v>165.57664461117452</v>
      </c>
      <c r="G29" s="141">
        <f>SUM(G17:G28)</f>
        <v>190.36336910141108</v>
      </c>
    </row>
    <row r="30" spans="2:7">
      <c r="B30" s="86" t="s">
        <v>29</v>
      </c>
      <c r="C30" s="151">
        <f>-C29*F40</f>
        <v>45.836595975107798</v>
      </c>
      <c r="D30" s="145"/>
      <c r="E30" s="146"/>
      <c r="F30" s="145"/>
      <c r="G30" s="145"/>
    </row>
    <row r="31" spans="2:7">
      <c r="B31" s="86" t="s">
        <v>30</v>
      </c>
      <c r="C31" s="151"/>
      <c r="D31" s="145"/>
      <c r="E31" s="146"/>
      <c r="F31" s="145"/>
      <c r="G31" s="145"/>
    </row>
    <row r="32" spans="2:7">
      <c r="B32" s="86" t="s">
        <v>32</v>
      </c>
      <c r="C32" s="153">
        <f>SUM(C29:C31)</f>
        <v>-137.50978792532339</v>
      </c>
      <c r="D32" s="141">
        <f>SUM(D29:D31)</f>
        <v>39.114135956483565</v>
      </c>
      <c r="E32" s="142">
        <f>SUM(E29:E31)</f>
        <v>177.89503069101377</v>
      </c>
      <c r="F32" s="141">
        <f>SUM(F29:F31)</f>
        <v>165.57664461117452</v>
      </c>
      <c r="G32" s="141">
        <f>SUM(G29:G31)</f>
        <v>190.36336910141108</v>
      </c>
    </row>
    <row r="33" spans="2:14" ht="31.5">
      <c r="B33" s="86" t="s">
        <v>37</v>
      </c>
      <c r="C33" s="153">
        <f>C32</f>
        <v>-137.50978792532339</v>
      </c>
      <c r="D33" s="148">
        <f>D32/(1+$C$40)^D5</f>
        <v>35.34622804670483</v>
      </c>
      <c r="E33" s="148">
        <f>E32/(1+$C$40)^E5</f>
        <v>145.2721904373945</v>
      </c>
      <c r="F33" s="148">
        <f>F32/(1+$C$40)^F5</f>
        <v>122.18758460544227</v>
      </c>
      <c r="G33" s="148">
        <f>G32/(1+$C$40)^G5</f>
        <v>126.94649630409566</v>
      </c>
    </row>
    <row r="34" spans="2:14" ht="32.25" thickBot="1">
      <c r="B34" s="87" t="s">
        <v>38</v>
      </c>
      <c r="C34" s="154">
        <f>C33</f>
        <v>-137.50978792532339</v>
      </c>
      <c r="D34" s="288">
        <f>C34+D33</f>
        <v>-102.16355987861857</v>
      </c>
      <c r="E34" s="156">
        <f>D34+E33</f>
        <v>43.108630558775928</v>
      </c>
      <c r="F34" s="155">
        <f>E34+F33</f>
        <v>165.29621516421821</v>
      </c>
      <c r="G34" s="155">
        <f>F34+G33</f>
        <v>292.24271146831387</v>
      </c>
    </row>
    <row r="39" spans="2:14" ht="16.5" thickBot="1"/>
    <row r="40" spans="2:14" ht="17.25" thickBot="1">
      <c r="B40" s="127" t="s">
        <v>39</v>
      </c>
      <c r="C40" s="128">
        <v>0.1066</v>
      </c>
      <c r="E40" s="173" t="s">
        <v>55</v>
      </c>
      <c r="F40" s="174">
        <v>0.25</v>
      </c>
      <c r="G40" s="172"/>
      <c r="H40" s="172"/>
      <c r="J40" s="302" t="s">
        <v>56</v>
      </c>
      <c r="K40" s="303"/>
      <c r="L40" s="303"/>
      <c r="M40" s="303"/>
      <c r="N40" s="304"/>
    </row>
    <row r="41" spans="2:14" ht="28.5" thickBot="1">
      <c r="B41" s="125" t="s">
        <v>40</v>
      </c>
      <c r="C41" s="126">
        <v>3.2800000000000003E-2</v>
      </c>
      <c r="E41" s="175" t="s">
        <v>57</v>
      </c>
      <c r="F41" s="176">
        <f>C30</f>
        <v>45.836595975107798</v>
      </c>
      <c r="G41" s="169"/>
      <c r="H41" s="169"/>
      <c r="J41" s="203" t="s">
        <v>58</v>
      </c>
      <c r="K41" s="204" t="s">
        <v>3</v>
      </c>
      <c r="L41" s="204" t="s">
        <v>4</v>
      </c>
      <c r="M41" s="204" t="s">
        <v>5</v>
      </c>
      <c r="N41" s="205" t="s">
        <v>6</v>
      </c>
    </row>
    <row r="42" spans="2:14" ht="17.25" thickBot="1">
      <c r="B42" s="116" t="s">
        <v>41</v>
      </c>
      <c r="C42" s="117">
        <v>5.2600000000000001E-2</v>
      </c>
      <c r="E42" s="175" t="s">
        <v>59</v>
      </c>
      <c r="F42" s="177">
        <v>0.05</v>
      </c>
      <c r="G42" s="170"/>
      <c r="H42" s="171"/>
      <c r="I42" s="197" t="s">
        <v>60</v>
      </c>
      <c r="J42" s="200">
        <f>F41</f>
        <v>45.836595975107798</v>
      </c>
      <c r="K42" s="201">
        <f>K46</f>
        <v>35.201963342618534</v>
      </c>
      <c r="L42" s="201">
        <f>L46</f>
        <v>24.035599078504802</v>
      </c>
      <c r="M42" s="201">
        <f>M46</f>
        <v>12.310916601185387</v>
      </c>
      <c r="N42" s="202">
        <f>N46</f>
        <v>0</v>
      </c>
    </row>
    <row r="43" spans="2:14" ht="17.25" thickBot="1">
      <c r="B43" s="116" t="s">
        <v>43</v>
      </c>
      <c r="C43" s="118">
        <v>1.2</v>
      </c>
      <c r="E43" s="175" t="s">
        <v>61</v>
      </c>
      <c r="F43" s="178">
        <v>4</v>
      </c>
      <c r="I43" s="198" t="s">
        <v>62</v>
      </c>
      <c r="J43" s="190"/>
      <c r="K43" s="186">
        <f>F44</f>
        <v>12.926462431244657</v>
      </c>
      <c r="L43" s="186">
        <f>K43</f>
        <v>12.926462431244657</v>
      </c>
      <c r="M43" s="186">
        <f>L43</f>
        <v>12.926462431244657</v>
      </c>
      <c r="N43" s="191">
        <f>M43</f>
        <v>12.926462431244657</v>
      </c>
    </row>
    <row r="44" spans="2:14" ht="17.25" thickBot="1">
      <c r="B44" s="119"/>
      <c r="C44" s="119"/>
      <c r="E44" s="175" t="s">
        <v>63</v>
      </c>
      <c r="F44" s="179">
        <f>F41*((F42*(1+F42)^F43)/((1+F42)^F43-1))</f>
        <v>12.926462431244657</v>
      </c>
      <c r="I44" s="198" t="s">
        <v>64</v>
      </c>
      <c r="J44" s="189"/>
      <c r="K44" s="187">
        <f>J42*$F$42</f>
        <v>2.2918297987553902</v>
      </c>
      <c r="L44" s="187">
        <f>K42*$F$42</f>
        <v>1.7600981671309268</v>
      </c>
      <c r="M44" s="187">
        <f>L42*$F$42</f>
        <v>1.2017799539252403</v>
      </c>
      <c r="N44" s="192">
        <f>M42*$F$42</f>
        <v>0.61554583005926933</v>
      </c>
    </row>
    <row r="45" spans="2:14" ht="17.25" thickBot="1">
      <c r="B45" s="116" t="s">
        <v>33</v>
      </c>
      <c r="C45" s="120">
        <f>NPV(C40,D32:G32)+C32</f>
        <v>292.24271146831387</v>
      </c>
      <c r="E45" s="175" t="s">
        <v>65</v>
      </c>
      <c r="F45" s="180"/>
      <c r="I45" s="198" t="s">
        <v>66</v>
      </c>
      <c r="J45" s="190"/>
      <c r="K45" s="188">
        <f>K43-K44</f>
        <v>10.634632632489266</v>
      </c>
      <c r="L45" s="188">
        <f>L43-L44</f>
        <v>11.16636426411373</v>
      </c>
      <c r="M45" s="188">
        <f>M43-M44</f>
        <v>11.724682477319416</v>
      </c>
      <c r="N45" s="193">
        <f>N43-N44</f>
        <v>12.310916601185387</v>
      </c>
    </row>
    <row r="46" spans="2:14" ht="28.5" thickBot="1">
      <c r="B46" s="116" t="s">
        <v>34</v>
      </c>
      <c r="C46" s="242">
        <f>IRR(C32:G32)</f>
        <v>0.71818398606991352</v>
      </c>
      <c r="E46" s="181" t="s">
        <v>67</v>
      </c>
      <c r="F46" s="182">
        <f>1-F40</f>
        <v>0.75</v>
      </c>
      <c r="I46" s="199" t="s">
        <v>68</v>
      </c>
      <c r="J46" s="194"/>
      <c r="K46" s="195">
        <f>J42-K45</f>
        <v>35.201963342618534</v>
      </c>
      <c r="L46" s="195">
        <f>K42-L45</f>
        <v>24.035599078504802</v>
      </c>
      <c r="M46" s="195">
        <f>L42-M45</f>
        <v>12.310916601185387</v>
      </c>
      <c r="N46" s="196">
        <f>M42-N45</f>
        <v>0</v>
      </c>
    </row>
    <row r="47" spans="2:14" ht="16.5" thickBot="1">
      <c r="B47" s="162" t="s">
        <v>35</v>
      </c>
      <c r="C47" s="159">
        <v>2</v>
      </c>
      <c r="E47" s="121"/>
      <c r="F47" s="183"/>
    </row>
    <row r="48" spans="2:14" ht="27.75" thickBot="1">
      <c r="B48" s="163" t="s">
        <v>36</v>
      </c>
      <c r="C48" s="161">
        <f>C45/(-C34)</f>
        <v>2.1252502522003769</v>
      </c>
      <c r="E48" s="181" t="s">
        <v>39</v>
      </c>
      <c r="F48" s="184">
        <f>F50+(F51-F50)*F52</f>
        <v>5.6559999999999999E-2</v>
      </c>
      <c r="J48" s="298" t="s">
        <v>69</v>
      </c>
      <c r="K48" s="299"/>
      <c r="L48" s="299"/>
      <c r="M48" s="300"/>
    </row>
    <row r="49" spans="2:13" ht="28.5" thickBot="1">
      <c r="B49" s="160"/>
      <c r="C49" s="160"/>
      <c r="E49" s="175" t="s">
        <v>70</v>
      </c>
      <c r="F49" s="185">
        <f>F48*F46+(F42*F40*(1-F5))</f>
        <v>1.7419999999999998E-2</v>
      </c>
      <c r="J49" s="164" t="s">
        <v>33</v>
      </c>
      <c r="K49" s="164" t="s">
        <v>34</v>
      </c>
      <c r="L49" s="164" t="s">
        <v>35</v>
      </c>
      <c r="M49" s="164" t="s">
        <v>36</v>
      </c>
    </row>
    <row r="50" spans="2:13" ht="17.25" thickBot="1">
      <c r="B50" s="122" t="s">
        <v>71</v>
      </c>
      <c r="C50" s="123">
        <v>0</v>
      </c>
      <c r="E50" s="175" t="s">
        <v>40</v>
      </c>
      <c r="F50" s="177">
        <v>3.2800000000000003E-2</v>
      </c>
      <c r="J50" s="165">
        <f>C45</f>
        <v>292.24271146831387</v>
      </c>
      <c r="K50" s="243">
        <f>C46</f>
        <v>0.71818398606991352</v>
      </c>
      <c r="L50" s="167">
        <v>2</v>
      </c>
      <c r="M50" s="168">
        <f>C48</f>
        <v>2.1252502522003769</v>
      </c>
    </row>
    <row r="51" spans="2:13" ht="17.25" thickBot="1">
      <c r="B51" s="122" t="s">
        <v>72</v>
      </c>
      <c r="C51" s="123">
        <v>0</v>
      </c>
      <c r="E51" s="175" t="s">
        <v>41</v>
      </c>
      <c r="F51" s="177">
        <v>5.2600000000000001E-2</v>
      </c>
    </row>
    <row r="52" spans="2:13" ht="17.25" thickBot="1">
      <c r="B52" s="122" t="s">
        <v>47</v>
      </c>
      <c r="C52" s="123">
        <v>0</v>
      </c>
      <c r="E52" s="175" t="s">
        <v>43</v>
      </c>
      <c r="F52" s="178">
        <v>1.2</v>
      </c>
    </row>
    <row r="53" spans="2:13" ht="16.5" thickBot="1">
      <c r="B53" s="122" t="s">
        <v>48</v>
      </c>
      <c r="C53" s="123">
        <v>0</v>
      </c>
    </row>
    <row r="54" spans="2:13" ht="16.5" thickBot="1">
      <c r="B54" s="124" t="s">
        <v>49</v>
      </c>
      <c r="C54" s="123">
        <v>0</v>
      </c>
    </row>
  </sheetData>
  <mergeCells count="4">
    <mergeCell ref="J4:M4"/>
    <mergeCell ref="J8:M8"/>
    <mergeCell ref="J40:N40"/>
    <mergeCell ref="J48:M48"/>
  </mergeCells>
  <pageMargins left="0.7" right="0.7" top="0.75" bottom="0.75" header="0.3" footer="0.3"/>
  <pageSetup orientation="portrait" r:id="rId1"/>
  <headerFooter>
    <oddFooter>&amp;C&amp;1#&amp;"Calibri"&amp;6&amp;K000000Public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N54"/>
  <sheetViews>
    <sheetView showGridLines="0" topLeftCell="A31" zoomScaleNormal="100" workbookViewId="0">
      <selection activeCell="I47" sqref="I47:N51"/>
    </sheetView>
  </sheetViews>
  <sheetFormatPr baseColWidth="10" defaultColWidth="10.625" defaultRowHeight="15.75"/>
  <cols>
    <col min="2" max="2" width="28.5" customWidth="1"/>
    <col min="3" max="3" width="12.375" bestFit="1" customWidth="1"/>
    <col min="4" max="4" width="13.625" bestFit="1" customWidth="1"/>
    <col min="5" max="5" width="16.5" customWidth="1"/>
    <col min="6" max="6" width="13.625" bestFit="1" customWidth="1"/>
    <col min="7" max="7" width="13.75" bestFit="1" customWidth="1"/>
    <col min="9" max="9" width="13.125" bestFit="1" customWidth="1"/>
    <col min="10" max="12" width="11" bestFit="1" customWidth="1"/>
    <col min="13" max="13" width="11.125" bestFit="1" customWidth="1"/>
  </cols>
  <sheetData>
    <row r="3" spans="2:13" ht="16.5" thickBot="1"/>
    <row r="4" spans="2:13" ht="19.5" thickBot="1">
      <c r="B4" s="85" t="s">
        <v>0</v>
      </c>
      <c r="C4" s="88">
        <v>0.27</v>
      </c>
      <c r="D4" s="89"/>
      <c r="E4" s="89"/>
      <c r="F4" s="89"/>
      <c r="G4" s="89"/>
      <c r="J4" s="294" t="s">
        <v>1</v>
      </c>
      <c r="K4" s="295"/>
      <c r="L4" s="295"/>
      <c r="M4" s="296"/>
    </row>
    <row r="5" spans="2:13" ht="19.5" thickBot="1">
      <c r="B5" s="93"/>
      <c r="C5" s="90" t="s">
        <v>2</v>
      </c>
      <c r="D5" s="91">
        <v>1</v>
      </c>
      <c r="E5" s="92">
        <v>2</v>
      </c>
      <c r="F5" s="91">
        <v>3</v>
      </c>
      <c r="G5" s="91">
        <v>4</v>
      </c>
      <c r="J5" s="94" t="s">
        <v>3</v>
      </c>
      <c r="K5" s="95" t="s">
        <v>4</v>
      </c>
      <c r="L5" s="95" t="s">
        <v>5</v>
      </c>
      <c r="M5" s="96" t="s">
        <v>6</v>
      </c>
    </row>
    <row r="6" spans="2:13" ht="16.5" thickBot="1">
      <c r="B6" s="86" t="s">
        <v>7</v>
      </c>
      <c r="C6" s="137"/>
      <c r="D6" s="285">
        <f>J6/2</f>
        <v>93.905936523598086</v>
      </c>
      <c r="E6" s="285">
        <f>K6</f>
        <v>214.10553527380361</v>
      </c>
      <c r="F6" s="285">
        <f>L6</f>
        <v>244.08031021213611</v>
      </c>
      <c r="G6" s="285">
        <f>M6</f>
        <v>278.25155364183524</v>
      </c>
      <c r="J6" s="97">
        <f>'INGRESOS - EGRESOS'!D21</f>
        <v>187.81187304719617</v>
      </c>
      <c r="K6" s="98">
        <f>'INGRESOS - EGRESOS'!F21</f>
        <v>214.10553527380361</v>
      </c>
      <c r="L6" s="98">
        <f>'INGRESOS - EGRESOS'!H21</f>
        <v>244.08031021213611</v>
      </c>
      <c r="M6" s="99">
        <f>'INGRESOS - EGRESOS'!J21</f>
        <v>278.25155364183524</v>
      </c>
    </row>
    <row r="7" spans="2:13">
      <c r="B7" s="86" t="s">
        <v>8</v>
      </c>
      <c r="C7" s="138"/>
      <c r="D7" s="139">
        <f>-J10</f>
        <v>-69.733988488735406</v>
      </c>
      <c r="E7" s="139">
        <f>-K10</f>
        <v>0</v>
      </c>
      <c r="F7" s="139">
        <f>-L10</f>
        <v>0</v>
      </c>
      <c r="G7" s="139">
        <f>-M10</f>
        <v>0</v>
      </c>
    </row>
    <row r="8" spans="2:13">
      <c r="B8" s="86" t="s">
        <v>9</v>
      </c>
      <c r="C8" s="140"/>
      <c r="D8" s="141">
        <f>SUM(D6:D7)</f>
        <v>24.17194803486268</v>
      </c>
      <c r="E8" s="142">
        <f>SUM(E6:E7)</f>
        <v>214.10553527380361</v>
      </c>
      <c r="F8" s="141">
        <f>SUM(F6:F7)</f>
        <v>244.08031021213611</v>
      </c>
      <c r="G8" s="141">
        <f>SUM(G6:G7)</f>
        <v>278.25155364183524</v>
      </c>
      <c r="J8" s="297" t="s">
        <v>10</v>
      </c>
      <c r="K8" s="297"/>
      <c r="L8" s="297"/>
      <c r="M8" s="297"/>
    </row>
    <row r="9" spans="2:13">
      <c r="B9" s="86" t="s">
        <v>11</v>
      </c>
      <c r="C9" s="138"/>
      <c r="D9" s="139">
        <f>-DEPRECIACIÓN!I25</f>
        <v>-73.994181094454476</v>
      </c>
      <c r="E9" s="139">
        <f>-DEPRECIACIÓN!J25</f>
        <v>-73.994181094454476</v>
      </c>
      <c r="F9" s="139"/>
      <c r="G9" s="139"/>
      <c r="J9" s="101" t="s">
        <v>3</v>
      </c>
      <c r="K9" s="101" t="s">
        <v>4</v>
      </c>
      <c r="L9" s="101" t="s">
        <v>5</v>
      </c>
      <c r="M9" s="101" t="s">
        <v>6</v>
      </c>
    </row>
    <row r="10" spans="2:13">
      <c r="B10" s="86" t="s">
        <v>12</v>
      </c>
      <c r="C10" s="138"/>
      <c r="D10" s="139">
        <f>-K44</f>
        <v>-4.5836595975107803</v>
      </c>
      <c r="E10" s="139">
        <f>-L44</f>
        <v>-3.5201963342618536</v>
      </c>
      <c r="F10" s="139">
        <f>-M44</f>
        <v>-2.4035599078504806</v>
      </c>
      <c r="G10" s="139">
        <f>-N44</f>
        <v>-1.2310916601185387</v>
      </c>
      <c r="J10" s="136">
        <f>'INGRESOS - EGRESOS'!C52</f>
        <v>69.733988488735406</v>
      </c>
      <c r="K10" s="136"/>
      <c r="L10" s="136"/>
      <c r="M10" s="136"/>
    </row>
    <row r="11" spans="2:13">
      <c r="B11" s="86" t="s">
        <v>13</v>
      </c>
      <c r="C11" s="138"/>
      <c r="D11" s="145"/>
      <c r="E11" s="146"/>
      <c r="F11" s="145"/>
      <c r="G11" s="145"/>
    </row>
    <row r="12" spans="2:13">
      <c r="B12" s="86" t="s">
        <v>14</v>
      </c>
      <c r="C12" s="138"/>
      <c r="D12" s="145"/>
      <c r="E12" s="147">
        <f>D17</f>
        <v>-54.405892657102576</v>
      </c>
      <c r="F12" s="145"/>
      <c r="G12" s="145"/>
    </row>
    <row r="13" spans="2:13">
      <c r="B13" s="86" t="s">
        <v>15</v>
      </c>
      <c r="C13" s="138"/>
      <c r="D13" s="145"/>
      <c r="E13" s="146"/>
      <c r="F13" s="145"/>
      <c r="G13" s="145"/>
    </row>
    <row r="14" spans="2:13">
      <c r="B14" s="86" t="s">
        <v>16</v>
      </c>
      <c r="C14" s="138"/>
      <c r="D14" s="145"/>
      <c r="E14" s="146"/>
      <c r="F14" s="145"/>
      <c r="G14" s="145"/>
    </row>
    <row r="15" spans="2:13">
      <c r="B15" s="86" t="s">
        <v>17</v>
      </c>
      <c r="C15" s="269"/>
      <c r="D15" s="270">
        <f>SUM(D8:D14)</f>
        <v>-54.405892657102576</v>
      </c>
      <c r="E15" s="271">
        <f>SUM(E8:E14)</f>
        <v>82.185265187984697</v>
      </c>
      <c r="F15" s="270">
        <f>SUM(F8:F14)</f>
        <v>241.67675030428563</v>
      </c>
      <c r="G15" s="270">
        <f>SUM(G8:G14)</f>
        <v>277.02046198171672</v>
      </c>
    </row>
    <row r="16" spans="2:13">
      <c r="B16" s="86" t="s">
        <v>18</v>
      </c>
      <c r="C16" s="138"/>
      <c r="D16" s="139">
        <v>0</v>
      </c>
      <c r="E16" s="144">
        <f>-E15*$C$4</f>
        <v>-22.19002160075587</v>
      </c>
      <c r="F16" s="139">
        <f>-F15*$C$4</f>
        <v>-65.252722582157119</v>
      </c>
      <c r="G16" s="139">
        <f>-G15*$C$4</f>
        <v>-74.795524735063523</v>
      </c>
    </row>
    <row r="17" spans="2:7">
      <c r="B17" s="86" t="s">
        <v>19</v>
      </c>
      <c r="C17" s="140"/>
      <c r="D17" s="148">
        <f>SUM(D15:D16)</f>
        <v>-54.405892657102576</v>
      </c>
      <c r="E17" s="149">
        <f>SUM(E15:E16)</f>
        <v>59.995243587228828</v>
      </c>
      <c r="F17" s="148">
        <f>SUM(F15:F16)</f>
        <v>176.42402772212853</v>
      </c>
      <c r="G17" s="148">
        <f>SUM(G15:G16)</f>
        <v>202.22493724665321</v>
      </c>
    </row>
    <row r="18" spans="2:7">
      <c r="B18" s="86" t="s">
        <v>11</v>
      </c>
      <c r="C18" s="138"/>
      <c r="D18" s="145">
        <f>DEPRECIACIÓN!I25</f>
        <v>73.994181094454476</v>
      </c>
      <c r="E18" s="145">
        <f>DEPRECIACIÓN!J25</f>
        <v>73.994181094454476</v>
      </c>
      <c r="F18" s="145"/>
      <c r="G18" s="145"/>
    </row>
    <row r="19" spans="2:7">
      <c r="B19" s="86" t="s">
        <v>14</v>
      </c>
      <c r="C19" s="138"/>
      <c r="D19" s="145"/>
      <c r="E19" s="146">
        <f>-D17</f>
        <v>54.405892657102576</v>
      </c>
      <c r="F19" s="145"/>
      <c r="G19" s="145"/>
    </row>
    <row r="20" spans="2:7">
      <c r="B20" s="86" t="s">
        <v>16</v>
      </c>
      <c r="C20" s="138"/>
      <c r="D20" s="145"/>
      <c r="E20" s="146"/>
      <c r="F20" s="145"/>
      <c r="G20" s="145"/>
    </row>
    <row r="21" spans="2:7">
      <c r="B21" s="86" t="s">
        <v>20</v>
      </c>
      <c r="C21" s="138"/>
      <c r="D21" s="139">
        <f>-K45</f>
        <v>-21.269265264978532</v>
      </c>
      <c r="E21" s="139">
        <f>-L45</f>
        <v>-22.332728528227459</v>
      </c>
      <c r="F21" s="139">
        <f>-M45</f>
        <v>-23.449364954638831</v>
      </c>
      <c r="G21" s="139">
        <f>-N45</f>
        <v>-24.621833202370773</v>
      </c>
    </row>
    <row r="22" spans="2:7">
      <c r="B22" s="86" t="s">
        <v>21</v>
      </c>
      <c r="C22" s="138"/>
      <c r="D22" s="145"/>
      <c r="E22" s="146"/>
      <c r="F22" s="145"/>
      <c r="G22" s="145"/>
    </row>
    <row r="23" spans="2:7">
      <c r="B23" s="86" t="s">
        <v>22</v>
      </c>
      <c r="C23" s="151">
        <f>-'ACTIVOS FIJOS'!I15</f>
        <v>-146.67710712034494</v>
      </c>
      <c r="D23" s="145"/>
      <c r="E23" s="146"/>
      <c r="F23" s="145"/>
      <c r="G23" s="145"/>
    </row>
    <row r="24" spans="2:7" ht="31.5">
      <c r="B24" s="86" t="s">
        <v>23</v>
      </c>
      <c r="C24" s="151">
        <f>-'ACTIVOS FIJOS'!I16</f>
        <v>-36.669276780086236</v>
      </c>
      <c r="D24" s="145"/>
      <c r="E24" s="146"/>
      <c r="F24" s="145"/>
      <c r="G24" s="145"/>
    </row>
    <row r="25" spans="2:7">
      <c r="B25" s="86" t="s">
        <v>24</v>
      </c>
      <c r="C25" s="152"/>
      <c r="D25" s="145"/>
      <c r="E25" s="146"/>
      <c r="F25" s="145"/>
      <c r="G25" s="145"/>
    </row>
    <row r="26" spans="2:7">
      <c r="B26" s="86" t="s">
        <v>25</v>
      </c>
      <c r="C26" s="138"/>
      <c r="D26" s="145"/>
      <c r="E26" s="146"/>
      <c r="F26" s="145"/>
      <c r="G26" s="145"/>
    </row>
    <row r="27" spans="2:7">
      <c r="B27" s="86" t="s">
        <v>26</v>
      </c>
      <c r="C27" s="138"/>
      <c r="D27" s="145"/>
      <c r="E27" s="146"/>
      <c r="F27" s="145"/>
      <c r="G27" s="145"/>
    </row>
    <row r="28" spans="2:7">
      <c r="B28" s="86" t="s">
        <v>27</v>
      </c>
      <c r="C28" s="138"/>
      <c r="D28" s="145">
        <f>'ACTIVOS FIJOS'!D26</f>
        <v>27.86865035286554</v>
      </c>
      <c r="E28" s="146"/>
      <c r="F28" s="145"/>
      <c r="G28" s="145"/>
    </row>
    <row r="29" spans="2:7">
      <c r="B29" s="86" t="s">
        <v>28</v>
      </c>
      <c r="C29" s="283">
        <f>SUM(C17:C28)</f>
        <v>-183.34638390043119</v>
      </c>
      <c r="D29" s="141">
        <f>SUM(D17:D28)</f>
        <v>26.187673525238907</v>
      </c>
      <c r="E29" s="142">
        <f>SUM(E17:E28)</f>
        <v>166.06258881055845</v>
      </c>
      <c r="F29" s="141">
        <f>SUM(F17:F28)</f>
        <v>152.97466276748969</v>
      </c>
      <c r="G29" s="141">
        <f>SUM(G17:G28)</f>
        <v>177.60310404428245</v>
      </c>
    </row>
    <row r="30" spans="2:7">
      <c r="B30" s="86" t="s">
        <v>29</v>
      </c>
      <c r="C30" s="138">
        <f>-C29*F40</f>
        <v>91.673191950215596</v>
      </c>
      <c r="D30" s="145"/>
      <c r="E30" s="146"/>
      <c r="F30" s="145"/>
      <c r="G30" s="145"/>
    </row>
    <row r="31" spans="2:7">
      <c r="B31" s="86" t="s">
        <v>30</v>
      </c>
      <c r="C31" s="138"/>
      <c r="D31" s="145"/>
      <c r="E31" s="146"/>
      <c r="F31" s="145"/>
      <c r="G31" s="145"/>
    </row>
    <row r="32" spans="2:7">
      <c r="B32" s="86" t="s">
        <v>32</v>
      </c>
      <c r="C32" s="283">
        <f>SUM(C29:C31)</f>
        <v>-91.673191950215596</v>
      </c>
      <c r="D32" s="141">
        <f>SUM(D29:D31)</f>
        <v>26.187673525238907</v>
      </c>
      <c r="E32" s="142">
        <f>SUM(E29:E31)</f>
        <v>166.06258881055845</v>
      </c>
      <c r="F32" s="141">
        <f>SUM(F29:F31)</f>
        <v>152.97466276748969</v>
      </c>
      <c r="G32" s="141">
        <f>SUM(G29:G31)</f>
        <v>177.60310404428245</v>
      </c>
    </row>
    <row r="33" spans="2:14" ht="31.5">
      <c r="B33" s="86" t="s">
        <v>37</v>
      </c>
      <c r="C33" s="283">
        <f>C32</f>
        <v>-91.673191950215596</v>
      </c>
      <c r="D33" s="148">
        <f>D32/(1+$C$40)^D5</f>
        <v>23.664986015939732</v>
      </c>
      <c r="E33" s="148">
        <f>E32/(1+$C$40)^E5</f>
        <v>135.60961164854396</v>
      </c>
      <c r="F33" s="148">
        <f>F32/(1+$C$40)^F5</f>
        <v>112.88792929271727</v>
      </c>
      <c r="G33" s="148">
        <f>G32/(1+$C$40)^G5</f>
        <v>118.4371336648417</v>
      </c>
    </row>
    <row r="34" spans="2:14" ht="32.25" thickBot="1">
      <c r="B34" s="87" t="s">
        <v>38</v>
      </c>
      <c r="C34" s="284">
        <f>C33</f>
        <v>-91.673191950215596</v>
      </c>
      <c r="D34" s="155">
        <f>C34+D33</f>
        <v>-68.008205934275864</v>
      </c>
      <c r="E34" s="156">
        <f>D34+E33</f>
        <v>67.601405714268097</v>
      </c>
      <c r="F34" s="155">
        <f>E34+F33</f>
        <v>180.48933500698536</v>
      </c>
      <c r="G34" s="155">
        <f>F34+G33</f>
        <v>298.92646867182702</v>
      </c>
    </row>
    <row r="39" spans="2:14" ht="16.5" thickBot="1"/>
    <row r="40" spans="2:14" ht="17.25" thickBot="1">
      <c r="B40" s="127" t="s">
        <v>39</v>
      </c>
      <c r="C40" s="128">
        <v>0.1066</v>
      </c>
      <c r="E40" s="173" t="s">
        <v>55</v>
      </c>
      <c r="F40" s="174">
        <v>0.5</v>
      </c>
      <c r="G40" s="172"/>
      <c r="H40" s="172"/>
      <c r="J40" s="302" t="s">
        <v>56</v>
      </c>
      <c r="K40" s="303"/>
      <c r="L40" s="303"/>
      <c r="M40" s="303"/>
      <c r="N40" s="304"/>
    </row>
    <row r="41" spans="2:14" ht="28.5" thickBot="1">
      <c r="B41" s="125" t="s">
        <v>40</v>
      </c>
      <c r="C41" s="126">
        <v>3.2800000000000003E-2</v>
      </c>
      <c r="E41" s="175" t="s">
        <v>57</v>
      </c>
      <c r="F41" s="176">
        <f>C30</f>
        <v>91.673191950215596</v>
      </c>
      <c r="G41" s="169"/>
      <c r="H41" s="169"/>
      <c r="J41" s="203" t="s">
        <v>58</v>
      </c>
      <c r="K41" s="204" t="s">
        <v>3</v>
      </c>
      <c r="L41" s="204" t="s">
        <v>4</v>
      </c>
      <c r="M41" s="204" t="s">
        <v>5</v>
      </c>
      <c r="N41" s="205" t="s">
        <v>6</v>
      </c>
    </row>
    <row r="42" spans="2:14" ht="17.25" thickBot="1">
      <c r="B42" s="116" t="s">
        <v>41</v>
      </c>
      <c r="C42" s="117">
        <v>5.2600000000000001E-2</v>
      </c>
      <c r="E42" s="175" t="s">
        <v>59</v>
      </c>
      <c r="F42" s="177">
        <v>0.05</v>
      </c>
      <c r="G42" s="170"/>
      <c r="H42" s="171"/>
      <c r="I42" s="197" t="s">
        <v>60</v>
      </c>
      <c r="J42" s="200">
        <f>F41</f>
        <v>91.673191950215596</v>
      </c>
      <c r="K42" s="201">
        <f>K46</f>
        <v>70.403926685237067</v>
      </c>
      <c r="L42" s="201">
        <f>L46</f>
        <v>48.071198157009604</v>
      </c>
      <c r="M42" s="201">
        <f>M46</f>
        <v>24.621833202370773</v>
      </c>
      <c r="N42" s="202">
        <f>N46</f>
        <v>0</v>
      </c>
    </row>
    <row r="43" spans="2:14" ht="17.25" thickBot="1">
      <c r="B43" s="116" t="s">
        <v>43</v>
      </c>
      <c r="C43" s="118">
        <v>1.2</v>
      </c>
      <c r="E43" s="175" t="s">
        <v>61</v>
      </c>
      <c r="F43" s="178">
        <v>4</v>
      </c>
      <c r="I43" s="198" t="s">
        <v>62</v>
      </c>
      <c r="J43" s="190"/>
      <c r="K43" s="186">
        <f>F44</f>
        <v>25.852924862489314</v>
      </c>
      <c r="L43" s="186">
        <f>K43</f>
        <v>25.852924862489314</v>
      </c>
      <c r="M43" s="186">
        <f>L43</f>
        <v>25.852924862489314</v>
      </c>
      <c r="N43" s="191">
        <f>M43</f>
        <v>25.852924862489314</v>
      </c>
    </row>
    <row r="44" spans="2:14" ht="17.25" thickBot="1">
      <c r="B44" s="119"/>
      <c r="C44" s="119"/>
      <c r="E44" s="175" t="s">
        <v>63</v>
      </c>
      <c r="F44" s="179">
        <f>F41*((F42*(1+F42)^F43)/((1+F42)^F43-1))</f>
        <v>25.852924862489314</v>
      </c>
      <c r="I44" s="198" t="s">
        <v>64</v>
      </c>
      <c r="J44" s="189"/>
      <c r="K44" s="187">
        <f>J42*$F$42</f>
        <v>4.5836595975107803</v>
      </c>
      <c r="L44" s="187">
        <f>K42*$F$42</f>
        <v>3.5201963342618536</v>
      </c>
      <c r="M44" s="187">
        <f>L42*$F$42</f>
        <v>2.4035599078504806</v>
      </c>
      <c r="N44" s="192">
        <f>M42*$F$42</f>
        <v>1.2310916601185387</v>
      </c>
    </row>
    <row r="45" spans="2:14" ht="17.25" thickBot="1">
      <c r="B45" s="116" t="s">
        <v>33</v>
      </c>
      <c r="C45" s="120">
        <f>NPV(C40,D32:G32)+C32</f>
        <v>298.92646867182708</v>
      </c>
      <c r="E45" s="175" t="s">
        <v>65</v>
      </c>
      <c r="F45" s="180"/>
      <c r="I45" s="198" t="s">
        <v>66</v>
      </c>
      <c r="J45" s="190"/>
      <c r="K45" s="188">
        <f>K43-K44</f>
        <v>21.269265264978532</v>
      </c>
      <c r="L45" s="188">
        <f>L43-L44</f>
        <v>22.332728528227459</v>
      </c>
      <c r="M45" s="188">
        <f>M43-M44</f>
        <v>23.449364954638831</v>
      </c>
      <c r="N45" s="193">
        <f>N43-N44</f>
        <v>24.621833202370773</v>
      </c>
    </row>
    <row r="46" spans="2:14" ht="28.5" thickBot="1">
      <c r="B46" s="116" t="s">
        <v>34</v>
      </c>
      <c r="C46" s="129">
        <f>IRR(C32:G32)</f>
        <v>0.93495514399419877</v>
      </c>
      <c r="E46" s="181" t="s">
        <v>67</v>
      </c>
      <c r="F46" s="182">
        <f>1-F40</f>
        <v>0.5</v>
      </c>
      <c r="I46" s="199" t="s">
        <v>68</v>
      </c>
      <c r="J46" s="194"/>
      <c r="K46" s="195">
        <f>J42-K45</f>
        <v>70.403926685237067</v>
      </c>
      <c r="L46" s="195">
        <f>K42-L45</f>
        <v>48.071198157009604</v>
      </c>
      <c r="M46" s="195">
        <f>L42-M45</f>
        <v>24.621833202370773</v>
      </c>
      <c r="N46" s="196">
        <f>M42-N45</f>
        <v>0</v>
      </c>
    </row>
    <row r="47" spans="2:14" ht="16.5" thickBot="1">
      <c r="B47" s="162" t="s">
        <v>35</v>
      </c>
      <c r="C47" s="159">
        <v>2</v>
      </c>
      <c r="E47" s="121"/>
      <c r="F47" s="183"/>
    </row>
    <row r="48" spans="2:14" ht="27.75" thickBot="1">
      <c r="B48" s="163" t="s">
        <v>36</v>
      </c>
      <c r="C48" s="161">
        <f>C45/(-C34)</f>
        <v>3.2607839032610895</v>
      </c>
      <c r="E48" s="181" t="s">
        <v>39</v>
      </c>
      <c r="F48" s="184">
        <f>F50+(F51-F50)*F52</f>
        <v>5.6559999999999999E-2</v>
      </c>
      <c r="J48" s="298" t="s">
        <v>73</v>
      </c>
      <c r="K48" s="299"/>
      <c r="L48" s="299"/>
      <c r="M48" s="300"/>
    </row>
    <row r="49" spans="2:13" ht="28.5" thickBot="1">
      <c r="B49" s="160"/>
      <c r="C49" s="160"/>
      <c r="E49" s="175" t="s">
        <v>70</v>
      </c>
      <c r="F49" s="185">
        <f>F48*F46+(F42*F40*(1-F5))</f>
        <v>-2.1720000000000003E-2</v>
      </c>
      <c r="J49" s="164" t="s">
        <v>33</v>
      </c>
      <c r="K49" s="164" t="s">
        <v>34</v>
      </c>
      <c r="L49" s="164" t="s">
        <v>35</v>
      </c>
      <c r="M49" s="164" t="s">
        <v>36</v>
      </c>
    </row>
    <row r="50" spans="2:13" ht="17.25" thickBot="1">
      <c r="B50" s="122" t="s">
        <v>71</v>
      </c>
      <c r="C50" s="123">
        <v>0</v>
      </c>
      <c r="E50" s="175" t="s">
        <v>40</v>
      </c>
      <c r="F50" s="177">
        <v>3.2800000000000003E-2</v>
      </c>
      <c r="J50" s="165">
        <f>C45</f>
        <v>298.92646867182708</v>
      </c>
      <c r="K50" s="243">
        <f>C46</f>
        <v>0.93495514399419877</v>
      </c>
      <c r="L50" s="167">
        <v>2</v>
      </c>
      <c r="M50" s="168">
        <f>C48</f>
        <v>3.2607839032610895</v>
      </c>
    </row>
    <row r="51" spans="2:13" ht="17.25" thickBot="1">
      <c r="B51" s="122" t="s">
        <v>72</v>
      </c>
      <c r="C51" s="123">
        <v>0</v>
      </c>
      <c r="E51" s="175" t="s">
        <v>41</v>
      </c>
      <c r="F51" s="177">
        <v>5.2600000000000001E-2</v>
      </c>
    </row>
    <row r="52" spans="2:13" ht="17.25" thickBot="1">
      <c r="B52" s="122" t="s">
        <v>47</v>
      </c>
      <c r="C52" s="123">
        <v>0</v>
      </c>
      <c r="E52" s="175" t="s">
        <v>43</v>
      </c>
      <c r="F52" s="178">
        <v>1.2</v>
      </c>
    </row>
    <row r="53" spans="2:13" ht="16.5" thickBot="1">
      <c r="B53" s="122" t="s">
        <v>48</v>
      </c>
      <c r="C53" s="123">
        <v>0</v>
      </c>
    </row>
    <row r="54" spans="2:13" ht="16.5" thickBot="1">
      <c r="B54" s="124" t="s">
        <v>49</v>
      </c>
      <c r="C54" s="123">
        <v>0</v>
      </c>
    </row>
  </sheetData>
  <mergeCells count="4">
    <mergeCell ref="J4:M4"/>
    <mergeCell ref="J8:M8"/>
    <mergeCell ref="J40:N40"/>
    <mergeCell ref="J48:M48"/>
  </mergeCells>
  <pageMargins left="0.7" right="0.7" top="0.75" bottom="0.75" header="0.3" footer="0.3"/>
  <pageSetup orientation="portrait" r:id="rId1"/>
  <headerFooter>
    <oddFooter>&amp;C&amp;1#&amp;"Calibri"&amp;6&amp;K000000Public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O68"/>
  <sheetViews>
    <sheetView showGridLines="0" topLeftCell="A35" zoomScale="70" zoomScaleNormal="70" workbookViewId="0">
      <selection activeCell="J33" sqref="J33:O37"/>
    </sheetView>
  </sheetViews>
  <sheetFormatPr baseColWidth="10" defaultColWidth="10.625" defaultRowHeight="15.75"/>
  <cols>
    <col min="2" max="2" width="28.5" customWidth="1"/>
    <col min="3" max="3" width="12.375" bestFit="1" customWidth="1"/>
    <col min="4" max="4" width="13.625" bestFit="1" customWidth="1"/>
    <col min="5" max="5" width="16.5" customWidth="1"/>
    <col min="6" max="6" width="13.5" customWidth="1"/>
    <col min="7" max="7" width="13.625" bestFit="1" customWidth="1"/>
    <col min="10" max="10" width="13.125" bestFit="1" customWidth="1"/>
    <col min="11" max="13" width="11" bestFit="1" customWidth="1"/>
    <col min="14" max="14" width="11.125" bestFit="1" customWidth="1"/>
  </cols>
  <sheetData>
    <row r="3" spans="2:14" ht="16.5" thickBot="1"/>
    <row r="4" spans="2:14" ht="19.5" thickBot="1">
      <c r="B4" s="85" t="s">
        <v>0</v>
      </c>
      <c r="C4" s="88">
        <v>0.27</v>
      </c>
      <c r="D4" s="89"/>
      <c r="E4" s="89"/>
      <c r="F4" s="89"/>
      <c r="G4" s="89"/>
      <c r="K4" s="294" t="s">
        <v>1</v>
      </c>
      <c r="L4" s="295"/>
      <c r="M4" s="295"/>
      <c r="N4" s="296"/>
    </row>
    <row r="5" spans="2:14" ht="19.5" thickBot="1">
      <c r="B5" s="93"/>
      <c r="C5" s="90" t="s">
        <v>2</v>
      </c>
      <c r="D5" s="91">
        <v>1</v>
      </c>
      <c r="E5" s="92">
        <v>2</v>
      </c>
      <c r="F5" s="91">
        <v>3</v>
      </c>
      <c r="G5" s="91">
        <v>4</v>
      </c>
      <c r="K5" s="94" t="s">
        <v>3</v>
      </c>
      <c r="L5" s="95" t="s">
        <v>4</v>
      </c>
      <c r="M5" s="95" t="s">
        <v>5</v>
      </c>
      <c r="N5" s="96" t="s">
        <v>6</v>
      </c>
    </row>
    <row r="6" spans="2:14" ht="16.5" thickBot="1">
      <c r="B6" s="86" t="s">
        <v>7</v>
      </c>
      <c r="C6" s="137"/>
      <c r="D6" s="247">
        <f>K6/2</f>
        <v>93.905936523598086</v>
      </c>
      <c r="E6" s="247">
        <f>L6</f>
        <v>214.10553527380361</v>
      </c>
      <c r="F6" s="247">
        <f>M6</f>
        <v>244.08031021213611</v>
      </c>
      <c r="G6" s="247">
        <f>N6</f>
        <v>278.25155364183524</v>
      </c>
      <c r="K6" s="97">
        <f>'INGRESOS - EGRESOS'!D21</f>
        <v>187.81187304719617</v>
      </c>
      <c r="L6" s="98">
        <f>'INGRESOS - EGRESOS'!F21</f>
        <v>214.10553527380361</v>
      </c>
      <c r="M6" s="98">
        <f>'INGRESOS - EGRESOS'!H21</f>
        <v>244.08031021213611</v>
      </c>
      <c r="N6" s="99">
        <f>'INGRESOS - EGRESOS'!J21</f>
        <v>278.25155364183524</v>
      </c>
    </row>
    <row r="7" spans="2:14">
      <c r="B7" s="86" t="s">
        <v>8</v>
      </c>
      <c r="C7" s="138"/>
      <c r="D7" s="139">
        <f>-K10</f>
        <v>-69.733988488735406</v>
      </c>
      <c r="E7" s="139">
        <f>-L10</f>
        <v>0</v>
      </c>
      <c r="F7" s="139">
        <f>-M10</f>
        <v>0</v>
      </c>
      <c r="G7" s="139">
        <f>-N10</f>
        <v>0</v>
      </c>
    </row>
    <row r="8" spans="2:14">
      <c r="B8" s="86" t="s">
        <v>9</v>
      </c>
      <c r="C8" s="140"/>
      <c r="D8" s="141">
        <f>SUM(D6:D7)</f>
        <v>24.17194803486268</v>
      </c>
      <c r="E8" s="142">
        <f>SUM(E6:E7)</f>
        <v>214.10553527380361</v>
      </c>
      <c r="F8" s="141">
        <f>SUM(F6:F7)</f>
        <v>244.08031021213611</v>
      </c>
      <c r="G8" s="141">
        <f>SUM(G6:G7)</f>
        <v>278.25155364183524</v>
      </c>
      <c r="K8" s="297" t="s">
        <v>10</v>
      </c>
      <c r="L8" s="297"/>
      <c r="M8" s="297"/>
      <c r="N8" s="297"/>
    </row>
    <row r="9" spans="2:14">
      <c r="B9" s="86" t="s">
        <v>11</v>
      </c>
      <c r="C9" s="138"/>
      <c r="D9" s="139">
        <f>-DEPRECIACIÓN!I25</f>
        <v>-73.994181094454476</v>
      </c>
      <c r="E9" s="139">
        <f>-DEPRECIACIÓN!J25</f>
        <v>-73.994181094454476</v>
      </c>
      <c r="F9" s="143"/>
      <c r="G9" s="139"/>
      <c r="K9" s="101" t="s">
        <v>3</v>
      </c>
      <c r="L9" s="101" t="s">
        <v>4</v>
      </c>
      <c r="M9" s="101" t="s">
        <v>5</v>
      </c>
      <c r="N9" s="101" t="s">
        <v>6</v>
      </c>
    </row>
    <row r="10" spans="2:14">
      <c r="B10" s="86" t="s">
        <v>12</v>
      </c>
      <c r="C10" s="138"/>
      <c r="D10" s="139">
        <f>-L30</f>
        <v>-6.8754893962661701</v>
      </c>
      <c r="E10" s="139">
        <f>-M30</f>
        <v>-5.2802945013927802</v>
      </c>
      <c r="F10" s="139">
        <f>-N30</f>
        <v>-3.6053398617757204</v>
      </c>
      <c r="G10" s="139">
        <f>-O30</f>
        <v>-1.846637490177808</v>
      </c>
      <c r="K10" s="136">
        <f>'INGRESOS - EGRESOS'!C52</f>
        <v>69.733988488735406</v>
      </c>
      <c r="L10" s="136"/>
      <c r="M10" s="136"/>
      <c r="N10" s="136"/>
    </row>
    <row r="11" spans="2:14">
      <c r="B11" s="86" t="s">
        <v>13</v>
      </c>
      <c r="C11" s="138"/>
      <c r="D11" s="145"/>
      <c r="E11" s="146"/>
      <c r="F11" s="145"/>
      <c r="G11" s="145"/>
    </row>
    <row r="12" spans="2:14">
      <c r="B12" s="86" t="s">
        <v>14</v>
      </c>
      <c r="C12" s="138"/>
      <c r="D12" s="145"/>
      <c r="E12" s="147">
        <f>D17</f>
        <v>-56.697722455857964</v>
      </c>
      <c r="F12" s="145"/>
      <c r="G12" s="145"/>
    </row>
    <row r="13" spans="2:14">
      <c r="B13" s="86" t="s">
        <v>15</v>
      </c>
      <c r="C13" s="138"/>
      <c r="D13" s="145"/>
      <c r="E13" s="146"/>
      <c r="F13" s="145"/>
      <c r="G13" s="145"/>
    </row>
    <row r="14" spans="2:14">
      <c r="B14" s="86" t="s">
        <v>16</v>
      </c>
      <c r="C14" s="138"/>
      <c r="D14" s="145"/>
      <c r="E14" s="146"/>
      <c r="F14" s="145"/>
      <c r="G14" s="145"/>
    </row>
    <row r="15" spans="2:14">
      <c r="B15" s="86" t="s">
        <v>17</v>
      </c>
      <c r="C15" s="269"/>
      <c r="D15" s="270">
        <f>SUM(D8:D14)</f>
        <v>-56.697722455857964</v>
      </c>
      <c r="E15" s="271">
        <f>SUM(E8:E14)</f>
        <v>78.13333722209839</v>
      </c>
      <c r="F15" s="270">
        <f>SUM(F8:F14)</f>
        <v>240.47497035036039</v>
      </c>
      <c r="G15" s="270">
        <f>SUM(G8:G14)</f>
        <v>276.40491615165746</v>
      </c>
      <c r="K15" t="s">
        <v>74</v>
      </c>
    </row>
    <row r="16" spans="2:14">
      <c r="B16" s="86" t="s">
        <v>18</v>
      </c>
      <c r="C16" s="138"/>
      <c r="D16" s="139">
        <v>0</v>
      </c>
      <c r="E16" s="144">
        <f>-E15*$C$4</f>
        <v>-21.096001049966567</v>
      </c>
      <c r="F16" s="139">
        <f>-F15*$C$4</f>
        <v>-64.928241994597315</v>
      </c>
      <c r="G16" s="139">
        <f>-G15*$C$4</f>
        <v>-74.629327360947514</v>
      </c>
      <c r="K16" t="s">
        <v>75</v>
      </c>
      <c r="L16">
        <v>11</v>
      </c>
    </row>
    <row r="17" spans="2:15">
      <c r="B17" s="86" t="s">
        <v>19</v>
      </c>
      <c r="C17" s="140"/>
      <c r="D17" s="148">
        <f>SUM(D15:D16)</f>
        <v>-56.697722455857964</v>
      </c>
      <c r="E17" s="149">
        <f>SUM(E15:E16)</f>
        <v>57.037336172131823</v>
      </c>
      <c r="F17" s="148">
        <f>SUM(F15:F16)</f>
        <v>175.54672835576309</v>
      </c>
      <c r="G17" s="148">
        <f>SUM(G15:G16)</f>
        <v>201.77558879070995</v>
      </c>
      <c r="K17" t="s">
        <v>76</v>
      </c>
      <c r="L17" s="273">
        <v>0.1066</v>
      </c>
    </row>
    <row r="18" spans="2:15">
      <c r="B18" s="86" t="s">
        <v>11</v>
      </c>
      <c r="C18" s="138"/>
      <c r="D18" s="145">
        <f>DEPRECIACIÓN!I25</f>
        <v>73.994181094454476</v>
      </c>
      <c r="E18" s="145">
        <f>DEPRECIACIÓN!J25</f>
        <v>73.994181094454476</v>
      </c>
      <c r="F18" s="150"/>
      <c r="G18" s="145"/>
      <c r="K18" t="s">
        <v>77</v>
      </c>
      <c r="L18">
        <v>90</v>
      </c>
    </row>
    <row r="19" spans="2:15">
      <c r="B19" s="86" t="s">
        <v>14</v>
      </c>
      <c r="C19" s="138"/>
      <c r="D19" s="145"/>
      <c r="E19" s="146">
        <f>-D17</f>
        <v>56.697722455857964</v>
      </c>
      <c r="F19" s="145"/>
      <c r="G19" s="145"/>
      <c r="K19" t="s">
        <v>78</v>
      </c>
      <c r="L19">
        <v>90</v>
      </c>
    </row>
    <row r="20" spans="2:15">
      <c r="B20" s="86" t="s">
        <v>16</v>
      </c>
      <c r="C20" s="138"/>
      <c r="D20" s="145"/>
      <c r="E20" s="146"/>
      <c r="F20" s="145"/>
      <c r="G20" s="145"/>
    </row>
    <row r="21" spans="2:15">
      <c r="B21" s="86" t="s">
        <v>20</v>
      </c>
      <c r="C21" s="138"/>
      <c r="D21" s="139">
        <f>-L31</f>
        <v>-31.9038978974678</v>
      </c>
      <c r="E21" s="139">
        <f>-M31</f>
        <v>-33.499092792341187</v>
      </c>
      <c r="F21" s="139">
        <f>-N31</f>
        <v>-35.17404743195825</v>
      </c>
      <c r="G21" s="139">
        <f>-O31</f>
        <v>-36.932749803556163</v>
      </c>
    </row>
    <row r="22" spans="2:15">
      <c r="B22" s="86" t="s">
        <v>21</v>
      </c>
      <c r="C22" s="138"/>
      <c r="D22" s="145"/>
      <c r="E22" s="146"/>
      <c r="F22" s="145"/>
      <c r="G22" s="145"/>
    </row>
    <row r="23" spans="2:15">
      <c r="B23" s="86" t="s">
        <v>22</v>
      </c>
      <c r="C23" s="151">
        <f>-'ACTIVOS FIJOS'!I15</f>
        <v>-146.67710712034494</v>
      </c>
      <c r="D23" s="145"/>
      <c r="E23" s="146"/>
      <c r="F23" s="145"/>
      <c r="G23" s="145"/>
      <c r="K23" s="232" t="s">
        <v>79</v>
      </c>
      <c r="L23" s="272">
        <f>((L16*L17*L18)/(L19*100)*100)</f>
        <v>1.1726000000000001</v>
      </c>
    </row>
    <row r="24" spans="2:15" ht="31.5">
      <c r="B24" s="86" t="s">
        <v>23</v>
      </c>
      <c r="C24" s="151">
        <f>-'ACTIVOS FIJOS'!I16</f>
        <v>-36.669276780086236</v>
      </c>
      <c r="D24" s="145"/>
      <c r="E24" s="146"/>
      <c r="F24" s="145"/>
      <c r="G24" s="145"/>
    </row>
    <row r="25" spans="2:15" ht="16.5" thickBot="1">
      <c r="B25" s="86" t="s">
        <v>24</v>
      </c>
      <c r="C25" s="152"/>
      <c r="D25" s="145"/>
      <c r="E25" s="146"/>
      <c r="F25" s="145"/>
      <c r="G25" s="145"/>
    </row>
    <row r="26" spans="2:15" ht="16.5" thickBot="1">
      <c r="B26" s="86" t="s">
        <v>25</v>
      </c>
      <c r="C26" s="138"/>
      <c r="D26" s="145"/>
      <c r="E26" s="146"/>
      <c r="F26" s="145"/>
      <c r="G26" s="145"/>
      <c r="K26" s="302" t="s">
        <v>56</v>
      </c>
      <c r="L26" s="303"/>
      <c r="M26" s="303"/>
      <c r="N26" s="303"/>
      <c r="O26" s="304"/>
    </row>
    <row r="27" spans="2:15" ht="16.5" thickBot="1">
      <c r="B27" s="86" t="s">
        <v>26</v>
      </c>
      <c r="C27" s="138"/>
      <c r="D27" s="145"/>
      <c r="E27" s="146"/>
      <c r="F27" s="145"/>
      <c r="G27" s="145"/>
      <c r="K27" s="203" t="s">
        <v>58</v>
      </c>
      <c r="L27" s="204" t="s">
        <v>3</v>
      </c>
      <c r="M27" s="204" t="s">
        <v>4</v>
      </c>
      <c r="N27" s="204" t="s">
        <v>5</v>
      </c>
      <c r="O27" s="205" t="s">
        <v>6</v>
      </c>
    </row>
    <row r="28" spans="2:15">
      <c r="B28" s="86" t="s">
        <v>27</v>
      </c>
      <c r="C28" s="138"/>
      <c r="D28" s="145">
        <f>'ACTIVOS FIJOS'!D26</f>
        <v>27.86865035286554</v>
      </c>
      <c r="E28" s="146"/>
      <c r="F28" s="145"/>
      <c r="G28" s="145"/>
      <c r="J28" s="197" t="s">
        <v>60</v>
      </c>
      <c r="K28" s="200">
        <f>C57</f>
        <v>137.50978792532339</v>
      </c>
      <c r="L28" s="201">
        <f>L32</f>
        <v>105.60589002785559</v>
      </c>
      <c r="M28" s="201">
        <f>M32</f>
        <v>72.106797235514406</v>
      </c>
      <c r="N28" s="201">
        <f>N32</f>
        <v>36.932749803556156</v>
      </c>
      <c r="O28" s="202">
        <f>O32</f>
        <v>0</v>
      </c>
    </row>
    <row r="29" spans="2:15">
      <c r="B29" s="86" t="s">
        <v>28</v>
      </c>
      <c r="C29" s="153">
        <f>SUM(C17:C28)</f>
        <v>-183.34638390043119</v>
      </c>
      <c r="D29" s="141">
        <f>SUM(D17:D28)</f>
        <v>13.261211093994252</v>
      </c>
      <c r="E29" s="142">
        <f>SUM(E17:E28)</f>
        <v>154.23014693010305</v>
      </c>
      <c r="F29" s="141">
        <f>SUM(F17:F28)</f>
        <v>140.37268092380484</v>
      </c>
      <c r="G29" s="141">
        <f>SUM(G17:G28)</f>
        <v>164.84283898715378</v>
      </c>
      <c r="J29" s="198" t="s">
        <v>62</v>
      </c>
      <c r="K29" s="190"/>
      <c r="L29" s="186">
        <f>C60</f>
        <v>38.779387293733969</v>
      </c>
      <c r="M29" s="186">
        <f>L29</f>
        <v>38.779387293733969</v>
      </c>
      <c r="N29" s="186">
        <f>M29</f>
        <v>38.779387293733969</v>
      </c>
      <c r="O29" s="191">
        <f>N29</f>
        <v>38.779387293733969</v>
      </c>
    </row>
    <row r="30" spans="2:15">
      <c r="B30" s="86" t="s">
        <v>29</v>
      </c>
      <c r="C30" s="151">
        <f>-C29*C56</f>
        <v>137.50978792532339</v>
      </c>
      <c r="D30" s="145"/>
      <c r="E30" s="146"/>
      <c r="F30" s="145"/>
      <c r="G30" s="145"/>
      <c r="J30" s="198" t="s">
        <v>64</v>
      </c>
      <c r="K30" s="189"/>
      <c r="L30" s="187">
        <f>K28*$C$58</f>
        <v>6.8754893962661701</v>
      </c>
      <c r="M30" s="187">
        <f>L28*$C$58</f>
        <v>5.2802945013927802</v>
      </c>
      <c r="N30" s="187">
        <f>M28*$C$58</f>
        <v>3.6053398617757204</v>
      </c>
      <c r="O30" s="192">
        <f>N28*$C$58</f>
        <v>1.846637490177808</v>
      </c>
    </row>
    <row r="31" spans="2:15">
      <c r="B31" s="86" t="s">
        <v>30</v>
      </c>
      <c r="C31" s="151"/>
      <c r="D31" s="145">
        <v>11</v>
      </c>
      <c r="E31" s="146"/>
      <c r="F31" s="145"/>
      <c r="G31" s="145"/>
      <c r="J31" s="198" t="s">
        <v>66</v>
      </c>
      <c r="K31" s="190"/>
      <c r="L31" s="188">
        <f>L29-L30</f>
        <v>31.9038978974678</v>
      </c>
      <c r="M31" s="188">
        <f>M29-M30</f>
        <v>33.499092792341187</v>
      </c>
      <c r="N31" s="188">
        <f>N29-N30</f>
        <v>35.17404743195825</v>
      </c>
      <c r="O31" s="193">
        <f>O29-O30</f>
        <v>36.932749803556163</v>
      </c>
    </row>
    <row r="32" spans="2:15" ht="16.5" thickBot="1">
      <c r="B32" s="86" t="s">
        <v>32</v>
      </c>
      <c r="C32" s="153">
        <f>SUM(C29:C31)</f>
        <v>-45.836595975107798</v>
      </c>
      <c r="D32" s="141">
        <f>SUM(D29:D31)</f>
        <v>24.261211093994252</v>
      </c>
      <c r="E32" s="142">
        <f>SUM(E29:E31)</f>
        <v>154.23014693010305</v>
      </c>
      <c r="F32" s="141">
        <f>SUM(F29:F31)</f>
        <v>140.37268092380484</v>
      </c>
      <c r="G32" s="141">
        <f>SUM(G29:G31)</f>
        <v>164.84283898715378</v>
      </c>
      <c r="J32" s="199" t="s">
        <v>68</v>
      </c>
      <c r="K32" s="194"/>
      <c r="L32" s="195">
        <f>K28-L31</f>
        <v>105.60589002785559</v>
      </c>
      <c r="M32" s="195">
        <f>L28-M31</f>
        <v>72.106797235514406</v>
      </c>
      <c r="N32" s="195">
        <f>M28-N31</f>
        <v>36.932749803556156</v>
      </c>
      <c r="O32" s="196">
        <f>N28-O31</f>
        <v>0</v>
      </c>
    </row>
    <row r="33" spans="2:14" ht="31.5">
      <c r="B33" s="86" t="s">
        <v>37</v>
      </c>
      <c r="C33" s="153">
        <f>C32</f>
        <v>-45.836595975107798</v>
      </c>
      <c r="D33" s="148">
        <f>D32/(1+$C$40)^D5</f>
        <v>21.924101838057339</v>
      </c>
      <c r="E33" s="148">
        <f>E32/(1+$C$40)^E5</f>
        <v>125.94703285969334</v>
      </c>
      <c r="F33" s="148">
        <f>F32/(1+$C$40)^F5</f>
        <v>103.58827397999225</v>
      </c>
      <c r="G33" s="148">
        <f>G32/(1+$C$40)^G5</f>
        <v>109.9277710255877</v>
      </c>
    </row>
    <row r="34" spans="2:14" ht="32.25" thickBot="1">
      <c r="B34" s="87" t="s">
        <v>38</v>
      </c>
      <c r="C34" s="154">
        <f>C33</f>
        <v>-45.836595975107798</v>
      </c>
      <c r="D34" s="288">
        <f>C34+D33</f>
        <v>-23.912494137050459</v>
      </c>
      <c r="E34" s="156">
        <f>D34+E33</f>
        <v>102.03453872264288</v>
      </c>
      <c r="F34" s="155">
        <f>E34+F33</f>
        <v>205.62281270263514</v>
      </c>
      <c r="G34" s="155">
        <f>F34+G33</f>
        <v>315.55058372822282</v>
      </c>
      <c r="K34" s="298" t="s">
        <v>80</v>
      </c>
      <c r="L34" s="299"/>
      <c r="M34" s="299"/>
      <c r="N34" s="300"/>
    </row>
    <row r="35" spans="2:14">
      <c r="K35" s="164" t="s">
        <v>33</v>
      </c>
      <c r="L35" s="164" t="s">
        <v>34</v>
      </c>
      <c r="M35" s="164" t="s">
        <v>35</v>
      </c>
      <c r="N35" s="164" t="s">
        <v>36</v>
      </c>
    </row>
    <row r="36" spans="2:14">
      <c r="K36" s="165">
        <f>C45</f>
        <v>315.55058372822276</v>
      </c>
      <c r="L36" s="243">
        <f>C46</f>
        <v>1.5437905525236331</v>
      </c>
      <c r="M36" s="167">
        <v>2</v>
      </c>
      <c r="N36" s="168">
        <f>C48</f>
        <v>6.8842499538924509</v>
      </c>
    </row>
    <row r="39" spans="2:14" ht="16.5" thickBot="1"/>
    <row r="40" spans="2:14" ht="16.5" thickBot="1">
      <c r="B40" s="127" t="s">
        <v>39</v>
      </c>
      <c r="C40" s="128">
        <v>0.1066</v>
      </c>
      <c r="E40" t="s">
        <v>75</v>
      </c>
      <c r="I40" s="172"/>
    </row>
    <row r="41" spans="2:14" ht="16.5" thickBot="1">
      <c r="B41" s="125" t="s">
        <v>40</v>
      </c>
      <c r="C41" s="126">
        <v>3.2800000000000003E-2</v>
      </c>
      <c r="I41" s="169"/>
    </row>
    <row r="42" spans="2:14" ht="16.5" thickBot="1">
      <c r="B42" s="116" t="s">
        <v>41</v>
      </c>
      <c r="C42" s="117">
        <v>0.1</v>
      </c>
      <c r="F42" s="291" t="s">
        <v>42</v>
      </c>
      <c r="G42" s="292"/>
      <c r="H42" s="293"/>
      <c r="I42" s="171"/>
      <c r="J42" s="291" t="s">
        <v>42</v>
      </c>
      <c r="K42" s="292"/>
      <c r="L42" s="293"/>
    </row>
    <row r="43" spans="2:14" ht="16.5" thickBot="1">
      <c r="B43" s="116" t="s">
        <v>43</v>
      </c>
      <c r="C43" s="118"/>
      <c r="F43" s="225" t="s">
        <v>81</v>
      </c>
      <c r="G43" s="226" t="s">
        <v>82</v>
      </c>
      <c r="H43" s="227" t="s">
        <v>45</v>
      </c>
      <c r="J43" s="225" t="s">
        <v>83</v>
      </c>
      <c r="K43" s="226" t="s">
        <v>33</v>
      </c>
      <c r="L43" s="227" t="s">
        <v>45</v>
      </c>
    </row>
    <row r="44" spans="2:14" ht="16.5" thickBot="1">
      <c r="B44" s="119"/>
      <c r="C44" s="119"/>
      <c r="F44" s="228">
        <v>0.75</v>
      </c>
      <c r="G44" s="187">
        <v>329</v>
      </c>
      <c r="H44" s="222">
        <f>(G44-$G$47)/$G$47</f>
        <v>0.75175293586111014</v>
      </c>
      <c r="J44" s="228">
        <v>0.99</v>
      </c>
      <c r="K44" s="187">
        <v>139</v>
      </c>
      <c r="L44" s="222">
        <f>(K44-$G$47)/$G$47</f>
        <v>-0.2598976957912027</v>
      </c>
    </row>
    <row r="45" spans="2:14" ht="16.5" thickBot="1">
      <c r="B45" s="116" t="s">
        <v>33</v>
      </c>
      <c r="C45" s="120">
        <f>NPV(C40,D32:G32)+C32</f>
        <v>315.55058372822276</v>
      </c>
      <c r="F45" s="228">
        <v>0.5</v>
      </c>
      <c r="G45" s="187">
        <v>282</v>
      </c>
      <c r="H45" s="222">
        <f t="shared" ref="H45:H50" si="0">(G45-$G$47)/$G$47</f>
        <v>0.50150251645238009</v>
      </c>
      <c r="J45" s="228">
        <v>0.5</v>
      </c>
      <c r="K45" s="187">
        <v>105</v>
      </c>
      <c r="L45" s="222">
        <f t="shared" ref="L45:L50" si="1">(K45-$G$47)/$G$47</f>
        <v>-0.44092991408687976</v>
      </c>
    </row>
    <row r="46" spans="2:14" ht="16.5" thickBot="1">
      <c r="B46" s="116" t="s">
        <v>34</v>
      </c>
      <c r="C46" s="129">
        <f>IRR(C32:G32)</f>
        <v>1.5437905525236331</v>
      </c>
      <c r="F46" s="228">
        <v>0.25</v>
      </c>
      <c r="G46" s="187">
        <v>235</v>
      </c>
      <c r="H46" s="222">
        <f t="shared" si="0"/>
        <v>0.25125209704365009</v>
      </c>
      <c r="J46" s="228">
        <v>0.1</v>
      </c>
      <c r="K46" s="187">
        <v>77</v>
      </c>
      <c r="L46" s="222">
        <f t="shared" si="1"/>
        <v>-0.59001527033037848</v>
      </c>
    </row>
    <row r="47" spans="2:14" ht="16.5" thickBot="1">
      <c r="B47" s="162" t="s">
        <v>35</v>
      </c>
      <c r="C47" s="159">
        <v>2</v>
      </c>
      <c r="F47" s="228">
        <v>0</v>
      </c>
      <c r="G47" s="187">
        <f>G60</f>
        <v>187.81187304719617</v>
      </c>
      <c r="H47" s="222">
        <f t="shared" si="0"/>
        <v>0</v>
      </c>
      <c r="J47" s="228">
        <v>0</v>
      </c>
      <c r="K47" s="187">
        <f>J60</f>
        <v>69.733988488735406</v>
      </c>
      <c r="L47" s="222">
        <f t="shared" si="1"/>
        <v>-0.62870298156703008</v>
      </c>
    </row>
    <row r="48" spans="2:14" ht="16.5" thickBot="1">
      <c r="B48" s="163" t="s">
        <v>36</v>
      </c>
      <c r="C48" s="161">
        <f>C45/(-C34)</f>
        <v>6.8842499538924509</v>
      </c>
      <c r="F48" s="228">
        <v>-0.25</v>
      </c>
      <c r="G48" s="187">
        <v>141</v>
      </c>
      <c r="H48" s="222">
        <f t="shared" si="0"/>
        <v>-0.24924874177380993</v>
      </c>
      <c r="J48" s="228">
        <v>-0.1</v>
      </c>
      <c r="K48" s="187">
        <v>63</v>
      </c>
      <c r="L48" s="222">
        <f t="shared" si="1"/>
        <v>-0.66455794845212779</v>
      </c>
    </row>
    <row r="49" spans="2:12" ht="16.5" thickBot="1">
      <c r="B49" s="160"/>
      <c r="C49" s="160"/>
      <c r="F49" s="228">
        <v>-0.5</v>
      </c>
      <c r="G49" s="187">
        <v>94</v>
      </c>
      <c r="H49" s="222">
        <f t="shared" si="0"/>
        <v>-0.49949916118253995</v>
      </c>
      <c r="J49" s="228">
        <v>-0.5</v>
      </c>
      <c r="K49" s="187">
        <v>35</v>
      </c>
      <c r="L49" s="222">
        <f t="shared" si="1"/>
        <v>-0.81364330469562662</v>
      </c>
    </row>
    <row r="50" spans="2:12" ht="16.5" thickBot="1">
      <c r="B50" s="122" t="s">
        <v>44</v>
      </c>
      <c r="C50" s="123">
        <v>0</v>
      </c>
      <c r="F50" s="229">
        <v>-0.75</v>
      </c>
      <c r="G50" s="289">
        <v>0</v>
      </c>
      <c r="H50" s="224">
        <f t="shared" si="0"/>
        <v>-1</v>
      </c>
      <c r="J50" s="229">
        <v>-0.99</v>
      </c>
      <c r="K50" s="289">
        <v>0</v>
      </c>
      <c r="L50" s="224">
        <f t="shared" si="1"/>
        <v>-1</v>
      </c>
    </row>
    <row r="51" spans="2:12" ht="16.5" thickBot="1">
      <c r="B51" s="122" t="s">
        <v>46</v>
      </c>
      <c r="C51" s="123">
        <v>0</v>
      </c>
    </row>
    <row r="52" spans="2:12" ht="16.5" thickBot="1">
      <c r="B52" s="122" t="s">
        <v>47</v>
      </c>
      <c r="C52" s="123">
        <v>0</v>
      </c>
      <c r="F52" s="84">
        <v>0.01</v>
      </c>
      <c r="G52" s="220">
        <v>67.3</v>
      </c>
      <c r="H52" s="221">
        <f>(G52-$G$47)/$G$47</f>
        <v>-0.64166269731473335</v>
      </c>
    </row>
    <row r="53" spans="2:12" ht="16.5" thickBot="1">
      <c r="B53" s="240" t="s">
        <v>48</v>
      </c>
      <c r="C53" s="123">
        <v>0</v>
      </c>
    </row>
    <row r="54" spans="2:12" ht="16.5" thickBot="1">
      <c r="B54" s="241" t="s">
        <v>49</v>
      </c>
      <c r="C54" s="239">
        <v>0</v>
      </c>
    </row>
    <row r="55" spans="2:12" ht="16.5" thickBot="1"/>
    <row r="56" spans="2:12" ht="17.25" thickBot="1">
      <c r="B56" s="173" t="s">
        <v>55</v>
      </c>
      <c r="C56" s="174">
        <v>0.75</v>
      </c>
      <c r="G56" s="231" t="s">
        <v>7</v>
      </c>
      <c r="I56" s="232" t="s">
        <v>50</v>
      </c>
      <c r="J56" s="231" t="s">
        <v>51</v>
      </c>
    </row>
    <row r="57" spans="2:12" ht="17.25" thickBot="1">
      <c r="B57" s="175" t="s">
        <v>57</v>
      </c>
      <c r="C57" s="176">
        <f>C30</f>
        <v>137.50978792532339</v>
      </c>
      <c r="G57" s="233">
        <f>'INGRESOS - EGRESOS'!N19</f>
        <v>187.81187304719617</v>
      </c>
      <c r="I57" s="232"/>
      <c r="J57" s="234">
        <f>'INGRESOS - EGRESOS'!C54</f>
        <v>69.733988488735406</v>
      </c>
    </row>
    <row r="58" spans="2:12" ht="17.25" thickBot="1">
      <c r="B58" s="175" t="s">
        <v>59</v>
      </c>
      <c r="C58" s="177">
        <v>0.05</v>
      </c>
      <c r="F58" s="231" t="s">
        <v>52</v>
      </c>
      <c r="G58" s="235">
        <f>C50</f>
        <v>0</v>
      </c>
      <c r="I58" s="231" t="s">
        <v>52</v>
      </c>
      <c r="J58" s="235">
        <f>C51</f>
        <v>0</v>
      </c>
    </row>
    <row r="59" spans="2:12" ht="17.25" thickBot="1">
      <c r="B59" s="175" t="s">
        <v>61</v>
      </c>
      <c r="C59" s="178">
        <v>4</v>
      </c>
      <c r="F59" s="231" t="s">
        <v>54</v>
      </c>
      <c r="G59" s="232"/>
      <c r="I59" s="231" t="s">
        <v>54</v>
      </c>
      <c r="J59" s="232"/>
    </row>
    <row r="60" spans="2:12" ht="17.25" thickBot="1">
      <c r="B60" s="175" t="s">
        <v>63</v>
      </c>
      <c r="C60" s="179">
        <f>C57*((C58*(1+C58)^C59)/((1+C58)^C59-1))</f>
        <v>38.779387293733969</v>
      </c>
      <c r="F60" s="231" t="s">
        <v>3</v>
      </c>
      <c r="G60" s="233">
        <f>G57*(1+C50)</f>
        <v>187.81187304719617</v>
      </c>
      <c r="I60" s="231" t="s">
        <v>3</v>
      </c>
      <c r="J60" s="290">
        <f>J57*(1+C51)</f>
        <v>69.733988488735406</v>
      </c>
    </row>
    <row r="61" spans="2:12" ht="16.5" thickBot="1">
      <c r="B61" s="175" t="s">
        <v>65</v>
      </c>
      <c r="C61" s="272">
        <f>L23</f>
        <v>1.1726000000000001</v>
      </c>
    </row>
    <row r="62" spans="2:12" ht="17.25" thickBot="1">
      <c r="B62" s="181" t="s">
        <v>67</v>
      </c>
      <c r="C62" s="182">
        <f>1-C56</f>
        <v>0.25</v>
      </c>
    </row>
    <row r="63" spans="2:12" ht="16.5" thickBot="1">
      <c r="B63" s="121"/>
      <c r="C63" s="183"/>
    </row>
    <row r="64" spans="2:12" ht="16.5" thickBot="1">
      <c r="B64" s="181" t="s">
        <v>39</v>
      </c>
      <c r="C64" s="184">
        <f>C66+(C67-C66)*C68</f>
        <v>5.6559999999999999E-2</v>
      </c>
    </row>
    <row r="65" spans="2:3" ht="17.25" thickBot="1">
      <c r="B65" s="175" t="s">
        <v>70</v>
      </c>
      <c r="C65" s="185">
        <f>C64*C62+(C58*C56*(1-F5))</f>
        <v>-6.0860000000000011E-2</v>
      </c>
    </row>
    <row r="66" spans="2:3" ht="17.25" thickBot="1">
      <c r="B66" s="175" t="s">
        <v>40</v>
      </c>
      <c r="C66" s="177">
        <v>3.2800000000000003E-2</v>
      </c>
    </row>
    <row r="67" spans="2:3" ht="17.25" thickBot="1">
      <c r="B67" s="175" t="s">
        <v>41</v>
      </c>
      <c r="C67" s="177">
        <v>5.2600000000000001E-2</v>
      </c>
    </row>
    <row r="68" spans="2:3" ht="17.25" thickBot="1">
      <c r="B68" s="175" t="s">
        <v>43</v>
      </c>
      <c r="C68" s="178">
        <v>1.2</v>
      </c>
    </row>
  </sheetData>
  <mergeCells count="6">
    <mergeCell ref="F42:H42"/>
    <mergeCell ref="J42:L42"/>
    <mergeCell ref="K4:N4"/>
    <mergeCell ref="K8:N8"/>
    <mergeCell ref="K26:O26"/>
    <mergeCell ref="K34:N34"/>
  </mergeCells>
  <pageMargins left="0.7" right="0.7" top="0.75" bottom="0.75" header="0.3" footer="0.3"/>
  <pageSetup orientation="portrait" r:id="rId1"/>
  <headerFooter>
    <oddFooter>&amp;C&amp;1#&amp;"Calibri"&amp;6&amp;K000000Public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M66"/>
  <sheetViews>
    <sheetView showGridLines="0" tabSelected="1" zoomScale="70" zoomScaleNormal="70" workbookViewId="0">
      <selection activeCell="H38" sqref="H38"/>
    </sheetView>
  </sheetViews>
  <sheetFormatPr baseColWidth="10" defaultColWidth="10.625" defaultRowHeight="15.75"/>
  <cols>
    <col min="2" max="2" width="28.5" customWidth="1"/>
    <col min="3" max="5" width="12.375" bestFit="1" customWidth="1"/>
    <col min="6" max="6" width="19.375" bestFit="1" customWidth="1"/>
    <col min="7" max="7" width="13.625" bestFit="1" customWidth="1"/>
    <col min="8" max="8" width="16.875" customWidth="1"/>
    <col min="9" max="9" width="17.375" bestFit="1" customWidth="1"/>
    <col min="10" max="12" width="11" bestFit="1" customWidth="1"/>
    <col min="13" max="13" width="11.125" bestFit="1" customWidth="1"/>
  </cols>
  <sheetData>
    <row r="3" spans="2:13" ht="16.5" thickBot="1"/>
    <row r="4" spans="2:13" ht="19.5" thickBot="1">
      <c r="B4" s="85" t="s">
        <v>0</v>
      </c>
      <c r="C4" s="88">
        <v>0.27</v>
      </c>
      <c r="D4" s="89"/>
      <c r="E4" s="89"/>
      <c r="F4" s="89"/>
      <c r="G4" s="89"/>
      <c r="J4" s="294" t="s">
        <v>1</v>
      </c>
      <c r="K4" s="295"/>
      <c r="L4" s="295"/>
      <c r="M4" s="296"/>
    </row>
    <row r="5" spans="2:13" ht="19.5" thickBot="1">
      <c r="B5" s="93"/>
      <c r="C5" s="90" t="s">
        <v>2</v>
      </c>
      <c r="D5" s="91">
        <v>1</v>
      </c>
      <c r="E5" s="92">
        <v>2</v>
      </c>
      <c r="F5" s="91">
        <v>3</v>
      </c>
      <c r="G5" s="91">
        <v>4</v>
      </c>
      <c r="J5" s="94" t="s">
        <v>3</v>
      </c>
      <c r="K5" s="95" t="s">
        <v>4</v>
      </c>
      <c r="L5" s="95" t="s">
        <v>5</v>
      </c>
      <c r="M5" s="96" t="s">
        <v>6</v>
      </c>
    </row>
    <row r="6" spans="2:13" ht="16.5" thickBot="1">
      <c r="B6" s="86" t="s">
        <v>7</v>
      </c>
      <c r="C6" s="248"/>
      <c r="D6" s="247">
        <f>J6/2</f>
        <v>93.905936523598086</v>
      </c>
      <c r="E6" s="247">
        <f>K6</f>
        <v>214.10553527380361</v>
      </c>
      <c r="F6" s="247">
        <f>L6</f>
        <v>244.08031021213608</v>
      </c>
      <c r="G6" s="247">
        <f>M6</f>
        <v>278.25155364183513</v>
      </c>
      <c r="J6" s="97">
        <f>Tabla1[[#Totals],[AÑO 1]]</f>
        <v>187.81187304719617</v>
      </c>
      <c r="K6" s="97">
        <f>Tabla1[[#Totals],[AÑO 2]]</f>
        <v>214.10553527380361</v>
      </c>
      <c r="L6" s="97">
        <f>Tabla1[[#Totals],[AÑO 3]]</f>
        <v>244.08031021213608</v>
      </c>
      <c r="M6" s="97">
        <f>Tabla1[[#Totals],[AÑO 4]]</f>
        <v>278.25155364183513</v>
      </c>
    </row>
    <row r="7" spans="2:13">
      <c r="B7" s="86" t="s">
        <v>8</v>
      </c>
      <c r="C7" s="249"/>
      <c r="D7" s="250">
        <f>-J10</f>
        <v>-69.733988488735406</v>
      </c>
      <c r="E7" s="250">
        <f>-K10</f>
        <v>0</v>
      </c>
      <c r="F7" s="250">
        <f>-L10</f>
        <v>0</v>
      </c>
      <c r="G7" s="250">
        <f>-M10</f>
        <v>0</v>
      </c>
    </row>
    <row r="8" spans="2:13">
      <c r="B8" s="86" t="s">
        <v>9</v>
      </c>
      <c r="C8" s="251"/>
      <c r="D8" s="252">
        <f>SUM(D6:D7)</f>
        <v>24.17194803486268</v>
      </c>
      <c r="E8" s="253">
        <f>SUM(E6:E7)</f>
        <v>214.10553527380361</v>
      </c>
      <c r="F8" s="252">
        <f>SUM(F6:F7)</f>
        <v>244.08031021213608</v>
      </c>
      <c r="G8" s="252">
        <f>SUM(G6:G7)</f>
        <v>278.25155364183513</v>
      </c>
      <c r="J8" s="297" t="s">
        <v>10</v>
      </c>
      <c r="K8" s="297"/>
      <c r="L8" s="297"/>
      <c r="M8" s="297"/>
    </row>
    <row r="9" spans="2:13">
      <c r="B9" s="86" t="s">
        <v>11</v>
      </c>
      <c r="C9" s="249"/>
      <c r="D9" s="250">
        <f>-DEPRECIACIÓN!I25</f>
        <v>-73.994181094454476</v>
      </c>
      <c r="E9" s="250">
        <f>-DEPRECIACIÓN!J25</f>
        <v>-73.994181094454476</v>
      </c>
      <c r="F9" s="250"/>
      <c r="G9" s="250"/>
      <c r="J9" s="101" t="s">
        <v>3</v>
      </c>
      <c r="K9" s="101" t="s">
        <v>4</v>
      </c>
      <c r="L9" s="101" t="s">
        <v>5</v>
      </c>
      <c r="M9" s="101" t="s">
        <v>6</v>
      </c>
    </row>
    <row r="10" spans="2:13">
      <c r="B10" s="86" t="s">
        <v>12</v>
      </c>
      <c r="C10" s="249"/>
      <c r="D10" s="250"/>
      <c r="E10" s="254"/>
      <c r="F10" s="250"/>
      <c r="G10" s="250"/>
      <c r="J10" s="136">
        <f>J60</f>
        <v>69.733988488735406</v>
      </c>
      <c r="K10" s="136"/>
      <c r="L10" s="136"/>
      <c r="M10" s="136"/>
    </row>
    <row r="11" spans="2:13">
      <c r="B11" s="86" t="s">
        <v>13</v>
      </c>
      <c r="C11" s="249"/>
      <c r="D11" s="255"/>
      <c r="E11" s="256"/>
      <c r="F11" s="255"/>
      <c r="G11" s="255"/>
    </row>
    <row r="12" spans="2:13">
      <c r="B12" s="86" t="s">
        <v>14</v>
      </c>
      <c r="C12" s="249"/>
      <c r="D12" s="255"/>
      <c r="E12" s="257">
        <f>D17</f>
        <v>-49.822233059591795</v>
      </c>
      <c r="F12" s="255"/>
      <c r="G12" s="255"/>
    </row>
    <row r="13" spans="2:13">
      <c r="B13" s="86" t="s">
        <v>15</v>
      </c>
      <c r="C13" s="249"/>
      <c r="D13" s="255"/>
      <c r="E13" s="256"/>
      <c r="F13" s="255"/>
      <c r="G13" s="255"/>
    </row>
    <row r="14" spans="2:13">
      <c r="B14" s="86" t="s">
        <v>16</v>
      </c>
      <c r="C14" s="249"/>
      <c r="D14" s="255"/>
      <c r="E14" s="256"/>
      <c r="F14" s="255"/>
      <c r="G14" s="255"/>
    </row>
    <row r="15" spans="2:13">
      <c r="B15" s="86" t="s">
        <v>17</v>
      </c>
      <c r="C15" s="266"/>
      <c r="D15" s="287">
        <f>SUM(D8:D14)</f>
        <v>-49.822233059591795</v>
      </c>
      <c r="E15" s="268">
        <f>SUM(E8:E14)</f>
        <v>90.289121119757326</v>
      </c>
      <c r="F15" s="267">
        <f>SUM(F8:F14)</f>
        <v>244.08031021213608</v>
      </c>
      <c r="G15" s="267">
        <f>SUM(G8:G14)</f>
        <v>278.25155364183513</v>
      </c>
    </row>
    <row r="16" spans="2:13">
      <c r="B16" s="86" t="s">
        <v>18</v>
      </c>
      <c r="C16" s="249"/>
      <c r="D16" s="250">
        <v>0</v>
      </c>
      <c r="E16" s="254">
        <f>-E15*$C$4</f>
        <v>-24.378062702334478</v>
      </c>
      <c r="F16" s="250">
        <f>-F15*$C$4</f>
        <v>-65.901683757276743</v>
      </c>
      <c r="G16" s="250">
        <f>-G15*$C$4</f>
        <v>-75.127919483295486</v>
      </c>
    </row>
    <row r="17" spans="2:13">
      <c r="B17" s="86" t="s">
        <v>19</v>
      </c>
      <c r="C17" s="251"/>
      <c r="D17" s="258">
        <f>SUM(D15:D16)</f>
        <v>-49.822233059591795</v>
      </c>
      <c r="E17" s="259">
        <f>SUM(E15:E16)</f>
        <v>65.911058417422851</v>
      </c>
      <c r="F17" s="258">
        <f>SUM(F15:F16)</f>
        <v>178.17862645485934</v>
      </c>
      <c r="G17" s="258">
        <f>SUM(G15:G16)</f>
        <v>203.12363415853963</v>
      </c>
    </row>
    <row r="18" spans="2:13">
      <c r="B18" s="86" t="s">
        <v>11</v>
      </c>
      <c r="C18" s="249"/>
      <c r="D18" s="255">
        <f>DEPRECIACIÓN!I25</f>
        <v>73.994181094454476</v>
      </c>
      <c r="E18" s="255">
        <f>DEPRECIACIÓN!J25</f>
        <v>73.994181094454476</v>
      </c>
      <c r="F18" s="255"/>
      <c r="G18" s="255"/>
    </row>
    <row r="19" spans="2:13">
      <c r="B19" s="86" t="s">
        <v>14</v>
      </c>
      <c r="C19" s="249"/>
      <c r="D19" s="255"/>
      <c r="E19" s="256">
        <f>-D17</f>
        <v>49.822233059591795</v>
      </c>
      <c r="F19" s="255"/>
      <c r="G19" s="255"/>
    </row>
    <row r="20" spans="2:13">
      <c r="B20" s="86" t="s">
        <v>16</v>
      </c>
      <c r="C20" s="249"/>
      <c r="D20" s="255"/>
      <c r="E20" s="256"/>
      <c r="F20" s="255"/>
      <c r="G20" s="255"/>
    </row>
    <row r="21" spans="2:13">
      <c r="B21" s="86" t="s">
        <v>20</v>
      </c>
      <c r="C21" s="249"/>
      <c r="D21" s="250"/>
      <c r="E21" s="254"/>
      <c r="F21" s="250"/>
      <c r="G21" s="250"/>
    </row>
    <row r="22" spans="2:13">
      <c r="B22" s="86" t="s">
        <v>21</v>
      </c>
      <c r="C22" s="249"/>
      <c r="D22" s="255"/>
      <c r="E22" s="256"/>
      <c r="F22" s="255"/>
      <c r="G22" s="255"/>
    </row>
    <row r="23" spans="2:13">
      <c r="B23" s="86" t="s">
        <v>22</v>
      </c>
      <c r="C23" s="260">
        <f>-'ACTIVOS FIJOS'!I15</f>
        <v>-146.67710712034494</v>
      </c>
      <c r="D23" s="255"/>
      <c r="E23" s="256"/>
      <c r="F23" s="255"/>
      <c r="G23" s="255"/>
    </row>
    <row r="24" spans="2:13" ht="31.5">
      <c r="B24" s="86" t="s">
        <v>23</v>
      </c>
      <c r="C24" s="260">
        <f>-'ACTIVOS FIJOS'!I16</f>
        <v>-36.669276780086236</v>
      </c>
      <c r="D24" s="255"/>
      <c r="E24" s="256"/>
      <c r="F24" s="255"/>
      <c r="G24" s="255"/>
    </row>
    <row r="25" spans="2:13">
      <c r="B25" s="86" t="s">
        <v>24</v>
      </c>
      <c r="C25" s="261"/>
      <c r="D25" s="255"/>
      <c r="E25" s="256"/>
      <c r="F25" s="255"/>
      <c r="G25" s="255"/>
    </row>
    <row r="26" spans="2:13">
      <c r="B26" s="86" t="s">
        <v>25</v>
      </c>
      <c r="C26" s="249"/>
      <c r="D26" s="255"/>
      <c r="E26" s="256"/>
      <c r="F26" s="255"/>
      <c r="G26" s="255"/>
    </row>
    <row r="27" spans="2:13">
      <c r="B27" s="86" t="s">
        <v>26</v>
      </c>
      <c r="C27" s="249"/>
      <c r="D27" s="255"/>
      <c r="E27" s="256"/>
      <c r="F27" s="255"/>
      <c r="G27" s="255"/>
    </row>
    <row r="28" spans="2:13">
      <c r="B28" s="86" t="s">
        <v>27</v>
      </c>
      <c r="C28" s="249"/>
      <c r="D28" s="255">
        <f>'ACTIVOS FIJOS'!D26</f>
        <v>27.86865035286554</v>
      </c>
      <c r="E28" s="256"/>
      <c r="F28" s="255"/>
      <c r="G28" s="255"/>
    </row>
    <row r="29" spans="2:13">
      <c r="B29" s="86" t="s">
        <v>28</v>
      </c>
      <c r="C29" s="262">
        <f>SUM(C17:C28)</f>
        <v>-183.34638390043119</v>
      </c>
      <c r="D29" s="252">
        <f>SUM(D17:D28)</f>
        <v>52.040598387728224</v>
      </c>
      <c r="E29" s="253">
        <f>SUM(E17:E28)</f>
        <v>189.72747257146909</v>
      </c>
      <c r="F29" s="252">
        <f>SUM(F17:F28)</f>
        <v>178.17862645485934</v>
      </c>
      <c r="G29" s="252">
        <f>SUM(G17:G28)</f>
        <v>203.12363415853963</v>
      </c>
    </row>
    <row r="30" spans="2:13">
      <c r="B30" s="86" t="s">
        <v>29</v>
      </c>
      <c r="C30" s="260"/>
      <c r="D30" s="255"/>
      <c r="E30" s="256"/>
      <c r="F30" s="255"/>
      <c r="G30" s="255"/>
    </row>
    <row r="31" spans="2:13">
      <c r="B31" s="86" t="s">
        <v>30</v>
      </c>
      <c r="C31" s="260"/>
      <c r="D31" s="255"/>
      <c r="E31" s="256"/>
      <c r="F31" s="255"/>
      <c r="G31" s="255"/>
      <c r="J31" s="298" t="s">
        <v>31</v>
      </c>
      <c r="K31" s="299"/>
      <c r="L31" s="299"/>
      <c r="M31" s="300"/>
    </row>
    <row r="32" spans="2:13">
      <c r="B32" s="86" t="s">
        <v>32</v>
      </c>
      <c r="C32" s="262">
        <f>SUM(C29:C31)</f>
        <v>-183.34638390043119</v>
      </c>
      <c r="D32" s="252">
        <f>SUM(D29:D31)</f>
        <v>52.040598387728224</v>
      </c>
      <c r="E32" s="253">
        <f>SUM(E29:E31)</f>
        <v>189.72747257146909</v>
      </c>
      <c r="F32" s="252">
        <f>SUM(F29:F31)</f>
        <v>178.17862645485934</v>
      </c>
      <c r="G32" s="252">
        <f>SUM(G29:G31)</f>
        <v>203.12363415853963</v>
      </c>
      <c r="J32" s="164" t="s">
        <v>33</v>
      </c>
      <c r="K32" s="164" t="s">
        <v>34</v>
      </c>
      <c r="L32" s="164" t="s">
        <v>35</v>
      </c>
      <c r="M32" s="164" t="s">
        <v>36</v>
      </c>
    </row>
    <row r="33" spans="2:13" ht="31.5">
      <c r="B33" s="86" t="s">
        <v>37</v>
      </c>
      <c r="C33" s="262">
        <f>C32</f>
        <v>-183.34638390043119</v>
      </c>
      <c r="D33" s="258">
        <f>D32/(1+$C$40)^D5</f>
        <v>47.027470077469928</v>
      </c>
      <c r="E33" s="258">
        <f>E32/(1+$C$40)^E5</f>
        <v>154.93476922624507</v>
      </c>
      <c r="F33" s="258">
        <f>F32/(1+$C$40)^F5</f>
        <v>131.48723991816726</v>
      </c>
      <c r="G33" s="258">
        <f>G32/(1+$C$40)^G5</f>
        <v>135.45585894334957</v>
      </c>
      <c r="J33" s="165">
        <f>C45</f>
        <v>315.55895426480055</v>
      </c>
      <c r="K33" s="166">
        <f>C46</f>
        <v>0.59193903038601459</v>
      </c>
      <c r="L33" s="167">
        <v>2</v>
      </c>
      <c r="M33" s="168">
        <f>C48</f>
        <v>1.7211081426954635</v>
      </c>
    </row>
    <row r="34" spans="2:13" ht="32.25" thickBot="1">
      <c r="B34" s="87" t="s">
        <v>38</v>
      </c>
      <c r="C34" s="263">
        <f>C33</f>
        <v>-183.34638390043119</v>
      </c>
      <c r="D34" s="286">
        <f>C34+D33</f>
        <v>-136.31891382296126</v>
      </c>
      <c r="E34" s="265">
        <f>D34+E33</f>
        <v>18.615855403283803</v>
      </c>
      <c r="F34" s="264">
        <f>E34+F33</f>
        <v>150.10309532145106</v>
      </c>
      <c r="G34" s="264">
        <f>F34+G33</f>
        <v>285.5589542648006</v>
      </c>
    </row>
    <row r="39" spans="2:13" ht="16.5" thickBot="1"/>
    <row r="40" spans="2:13" ht="16.5" thickBot="1">
      <c r="B40" s="127" t="s">
        <v>39</v>
      </c>
      <c r="C40" s="128">
        <v>0.1066</v>
      </c>
    </row>
    <row r="41" spans="2:13" ht="16.5" thickBot="1">
      <c r="B41" s="125" t="s">
        <v>40</v>
      </c>
      <c r="C41" s="126">
        <v>3.2800000000000003E-2</v>
      </c>
      <c r="J41" s="301"/>
      <c r="K41" s="301"/>
      <c r="L41" s="301"/>
      <c r="M41" s="301"/>
    </row>
    <row r="42" spans="2:13" ht="16.5" thickBot="1">
      <c r="B42" s="116" t="s">
        <v>41</v>
      </c>
      <c r="C42" s="117">
        <v>0.1</v>
      </c>
      <c r="F42" s="291" t="s">
        <v>42</v>
      </c>
      <c r="G42" s="292"/>
      <c r="H42" s="293"/>
      <c r="J42" s="230"/>
    </row>
    <row r="43" spans="2:13" ht="16.5" thickBot="1">
      <c r="B43" s="116" t="s">
        <v>43</v>
      </c>
      <c r="C43" s="118"/>
      <c r="F43" s="225" t="s">
        <v>44</v>
      </c>
      <c r="G43" s="226" t="s">
        <v>33</v>
      </c>
      <c r="H43" s="227" t="s">
        <v>45</v>
      </c>
    </row>
    <row r="44" spans="2:13" ht="16.5" thickBot="1">
      <c r="B44" s="119"/>
      <c r="C44" s="119"/>
      <c r="F44" s="228">
        <v>0.7</v>
      </c>
      <c r="G44" s="103">
        <v>637</v>
      </c>
      <c r="H44" s="222">
        <f>(G44-$G$47)/$G$47</f>
        <v>1.0186402299503849</v>
      </c>
    </row>
    <row r="45" spans="2:13" ht="16.5" thickBot="1">
      <c r="B45" s="116" t="s">
        <v>33</v>
      </c>
      <c r="C45" s="120">
        <f>NPV(C40,D32:G32)+C32+30</f>
        <v>315.55895426480055</v>
      </c>
      <c r="F45" s="228">
        <v>0.45</v>
      </c>
      <c r="G45" s="103">
        <v>522</v>
      </c>
      <c r="H45" s="222">
        <f t="shared" ref="H45:H50" si="0">(G45-$G$47)/$G$47</f>
        <v>0.6542075353753547</v>
      </c>
    </row>
    <row r="46" spans="2:13" ht="16.5" thickBot="1">
      <c r="B46" s="116" t="s">
        <v>34</v>
      </c>
      <c r="C46" s="129">
        <f>IRR(C32:G32)</f>
        <v>0.59193903038601459</v>
      </c>
      <c r="F46" s="228">
        <v>0.25</v>
      </c>
      <c r="G46" s="103">
        <v>430</v>
      </c>
      <c r="H46" s="222">
        <f t="shared" si="0"/>
        <v>0.36266137971533052</v>
      </c>
    </row>
    <row r="47" spans="2:13" ht="16.5" thickBot="1">
      <c r="B47" s="162" t="s">
        <v>35</v>
      </c>
      <c r="C47" s="159">
        <v>2</v>
      </c>
      <c r="F47" s="228">
        <v>0</v>
      </c>
      <c r="G47" s="103">
        <f>C45</f>
        <v>315.55895426480055</v>
      </c>
      <c r="H47" s="222">
        <f t="shared" si="0"/>
        <v>0</v>
      </c>
    </row>
    <row r="48" spans="2:13" ht="16.5" thickBot="1">
      <c r="B48" s="163" t="s">
        <v>36</v>
      </c>
      <c r="C48" s="161">
        <f>C45/(-C34)</f>
        <v>1.7211081426954635</v>
      </c>
      <c r="F48" s="228">
        <v>-0.25</v>
      </c>
      <c r="G48" s="103">
        <v>201</v>
      </c>
      <c r="H48" s="222">
        <f t="shared" si="0"/>
        <v>-0.36303502948190364</v>
      </c>
    </row>
    <row r="49" spans="2:10" ht="16.5" thickBot="1">
      <c r="B49" s="160"/>
      <c r="C49" s="160"/>
      <c r="F49" s="228">
        <v>-0.45</v>
      </c>
      <c r="G49" s="103">
        <v>109</v>
      </c>
      <c r="H49" s="222">
        <f t="shared" si="0"/>
        <v>-0.65458118514192787</v>
      </c>
    </row>
    <row r="50" spans="2:10" ht="16.5" thickBot="1">
      <c r="B50" s="122" t="s">
        <v>44</v>
      </c>
      <c r="C50" s="123">
        <v>0</v>
      </c>
      <c r="F50" s="229">
        <v>-0.7</v>
      </c>
      <c r="G50" s="223">
        <v>0</v>
      </c>
      <c r="H50" s="224">
        <f t="shared" si="0"/>
        <v>-1</v>
      </c>
    </row>
    <row r="51" spans="2:10" ht="16.5" thickBot="1">
      <c r="B51" s="122" t="s">
        <v>46</v>
      </c>
      <c r="C51" s="123">
        <v>0</v>
      </c>
    </row>
    <row r="52" spans="2:10" ht="16.5" thickBot="1">
      <c r="B52" s="122" t="s">
        <v>47</v>
      </c>
      <c r="C52" s="123">
        <v>0</v>
      </c>
      <c r="F52" s="84">
        <v>0.01</v>
      </c>
      <c r="G52" s="220">
        <v>67.3</v>
      </c>
      <c r="H52" s="221">
        <f>(G52-$G$47)/$G$47</f>
        <v>-0.78672764917478666</v>
      </c>
    </row>
    <row r="53" spans="2:10" ht="16.5" thickBot="1">
      <c r="B53" s="240" t="s">
        <v>48</v>
      </c>
      <c r="C53" s="123">
        <v>0</v>
      </c>
    </row>
    <row r="54" spans="2:10" ht="16.5" thickBot="1">
      <c r="B54" s="241" t="s">
        <v>49</v>
      </c>
      <c r="C54" s="239">
        <v>0</v>
      </c>
    </row>
    <row r="56" spans="2:10">
      <c r="G56" s="231" t="s">
        <v>7</v>
      </c>
      <c r="I56" s="232" t="s">
        <v>50</v>
      </c>
      <c r="J56" s="231" t="s">
        <v>51</v>
      </c>
    </row>
    <row r="57" spans="2:10" ht="16.5" thickBot="1">
      <c r="B57">
        <v>-17</v>
      </c>
      <c r="G57" s="233">
        <f>'INGRESOS - EGRESOS'!N19</f>
        <v>187.81187304719617</v>
      </c>
      <c r="I57" s="232"/>
      <c r="J57" s="234">
        <f>'INGRESOS - EGRESOS'!C54</f>
        <v>69.733988488735406</v>
      </c>
    </row>
    <row r="58" spans="2:10" ht="16.5" thickBot="1">
      <c r="B58" s="291" t="s">
        <v>42</v>
      </c>
      <c r="C58" s="292"/>
      <c r="D58" s="293"/>
      <c r="F58" s="231" t="s">
        <v>52</v>
      </c>
      <c r="G58" s="235">
        <f>C50</f>
        <v>0</v>
      </c>
      <c r="I58" s="231" t="s">
        <v>52</v>
      </c>
      <c r="J58" s="235">
        <f>C51</f>
        <v>0</v>
      </c>
    </row>
    <row r="59" spans="2:10">
      <c r="B59" s="225" t="s">
        <v>53</v>
      </c>
      <c r="C59" s="226" t="s">
        <v>33</v>
      </c>
      <c r="D59" s="227" t="s">
        <v>45</v>
      </c>
      <c r="F59" s="231" t="s">
        <v>54</v>
      </c>
      <c r="G59" s="232"/>
      <c r="I59" s="231" t="s">
        <v>54</v>
      </c>
      <c r="J59" s="232"/>
    </row>
    <row r="60" spans="2:10">
      <c r="B60" s="228">
        <v>0.7</v>
      </c>
      <c r="C60" s="103">
        <v>282</v>
      </c>
      <c r="D60" s="222">
        <f>(C60-$G$47)/$G$47</f>
        <v>-0.10634765330296927</v>
      </c>
      <c r="F60" s="231" t="s">
        <v>3</v>
      </c>
      <c r="G60" s="233">
        <f>G57*(1+C50)</f>
        <v>187.81187304719617</v>
      </c>
      <c r="I60" s="231" t="s">
        <v>3</v>
      </c>
      <c r="J60" s="234">
        <f>J57*(1+C51)</f>
        <v>69.733988488735406</v>
      </c>
    </row>
    <row r="61" spans="2:10">
      <c r="B61" s="228">
        <v>0.45</v>
      </c>
      <c r="C61" s="103">
        <v>294</v>
      </c>
      <c r="D61" s="222">
        <f t="shared" ref="D61:D66" si="1">(C61-$G$47)/$G$47</f>
        <v>-6.8319893869053072E-2</v>
      </c>
    </row>
    <row r="62" spans="2:10">
      <c r="B62" s="228">
        <v>0.25</v>
      </c>
      <c r="C62" s="103">
        <v>304</v>
      </c>
      <c r="D62" s="222">
        <f t="shared" si="1"/>
        <v>-3.6630094340789579E-2</v>
      </c>
    </row>
    <row r="63" spans="2:10">
      <c r="B63" s="228">
        <v>0</v>
      </c>
      <c r="C63" s="103">
        <f>G47</f>
        <v>315.55895426480055</v>
      </c>
      <c r="D63" s="222">
        <f t="shared" si="1"/>
        <v>0</v>
      </c>
    </row>
    <row r="64" spans="2:10">
      <c r="B64" s="228">
        <v>-0.25</v>
      </c>
      <c r="C64" s="103">
        <v>327</v>
      </c>
      <c r="D64" s="222">
        <f t="shared" si="1"/>
        <v>3.6256444574216472E-2</v>
      </c>
    </row>
    <row r="65" spans="2:4">
      <c r="B65" s="228">
        <v>-0.45</v>
      </c>
      <c r="C65" s="103">
        <v>337</v>
      </c>
      <c r="D65" s="222">
        <f t="shared" si="1"/>
        <v>6.7946244102479972E-2</v>
      </c>
    </row>
    <row r="66" spans="2:4" ht="16.5" thickBot="1">
      <c r="B66" s="229">
        <v>-0.7</v>
      </c>
      <c r="C66" s="223">
        <v>349</v>
      </c>
      <c r="D66" s="224">
        <f t="shared" si="1"/>
        <v>0.10597400353639617</v>
      </c>
    </row>
  </sheetData>
  <mergeCells count="6">
    <mergeCell ref="B58:D58"/>
    <mergeCell ref="J4:M4"/>
    <mergeCell ref="J8:M8"/>
    <mergeCell ref="J31:M31"/>
    <mergeCell ref="J41:M41"/>
    <mergeCell ref="F42:H42"/>
  </mergeCells>
  <pageMargins left="0.7" right="0.7" top="0.75" bottom="0.75" header="0.3" footer="0.3"/>
  <pageSetup orientation="portrait" r:id="rId1"/>
  <headerFooter>
    <oddFooter>&amp;C&amp;1#&amp;"Calibri"&amp;6&amp;K000000Public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5:R54"/>
  <sheetViews>
    <sheetView showGridLines="0" topLeftCell="A19" zoomScale="60" zoomScaleNormal="60" workbookViewId="0">
      <selection activeCell="D31" sqref="D31"/>
    </sheetView>
  </sheetViews>
  <sheetFormatPr baseColWidth="10" defaultColWidth="10.625" defaultRowHeight="15.75"/>
  <cols>
    <col min="2" max="2" width="27.5" bestFit="1" customWidth="1"/>
    <col min="3" max="3" width="17" bestFit="1" customWidth="1"/>
    <col min="4" max="4" width="12.875" customWidth="1"/>
    <col min="5" max="5" width="17.5" bestFit="1" customWidth="1"/>
    <col min="6" max="6" width="12.875" customWidth="1"/>
    <col min="7" max="7" width="17.5" bestFit="1" customWidth="1"/>
    <col min="8" max="8" width="12.5" customWidth="1"/>
    <col min="9" max="9" width="14" bestFit="1" customWidth="1"/>
    <col min="10" max="10" width="14" customWidth="1"/>
    <col min="11" max="11" width="3.875" customWidth="1"/>
    <col min="12" max="12" width="18.5" customWidth="1"/>
  </cols>
  <sheetData>
    <row r="5" spans="3:17" ht="16.5" thickBot="1"/>
    <row r="6" spans="3:17" ht="42.95" customHeight="1" thickBot="1">
      <c r="C6" s="305" t="s">
        <v>84</v>
      </c>
      <c r="D6" s="306"/>
      <c r="E6" s="306"/>
      <c r="F6" s="306"/>
      <c r="G6" s="306"/>
      <c r="H6" s="306"/>
      <c r="I6" s="306"/>
      <c r="J6" s="307"/>
      <c r="L6" s="82" t="s">
        <v>85</v>
      </c>
      <c r="O6">
        <v>1.1399999999999999</v>
      </c>
    </row>
    <row r="7" spans="3:17" ht="19.5" thickBot="1">
      <c r="C7" s="317" t="s">
        <v>3</v>
      </c>
      <c r="D7" s="318"/>
      <c r="E7" s="319" t="s">
        <v>4</v>
      </c>
      <c r="F7" s="320"/>
      <c r="G7" s="321" t="s">
        <v>5</v>
      </c>
      <c r="H7" s="322"/>
      <c r="I7" s="323" t="s">
        <v>6</v>
      </c>
      <c r="J7" s="324"/>
      <c r="L7" s="83">
        <f>SUM(D20,F20,H20,J20)</f>
        <v>33722158.944575995</v>
      </c>
      <c r="O7">
        <v>1.0471999999999999</v>
      </c>
    </row>
    <row r="8" spans="3:17" ht="18.75">
      <c r="C8" s="54" t="s">
        <v>86</v>
      </c>
      <c r="D8" s="55">
        <v>571042</v>
      </c>
      <c r="E8" s="67" t="s">
        <v>86</v>
      </c>
      <c r="F8" s="68">
        <f>D8*$O$6</f>
        <v>650987.87999999989</v>
      </c>
      <c r="G8" s="60" t="s">
        <v>86</v>
      </c>
      <c r="H8" s="61">
        <f>F8*$O$6</f>
        <v>742126.18319999985</v>
      </c>
      <c r="I8" s="75" t="s">
        <v>86</v>
      </c>
      <c r="J8" s="76">
        <f>H8*$O$6</f>
        <v>846023.8488479997</v>
      </c>
      <c r="O8" s="238">
        <v>0.12</v>
      </c>
    </row>
    <row r="9" spans="3:17" ht="18.75">
      <c r="C9" s="56" t="s">
        <v>87</v>
      </c>
      <c r="D9" s="57">
        <v>571042</v>
      </c>
      <c r="E9" s="69" t="s">
        <v>87</v>
      </c>
      <c r="F9" s="70">
        <f t="shared" ref="F9:F19" si="0">D9*$O$6</f>
        <v>650987.87999999989</v>
      </c>
      <c r="G9" s="62" t="s">
        <v>87</v>
      </c>
      <c r="H9" s="63">
        <f t="shared" ref="H9:H19" si="1">F9*$O$6</f>
        <v>742126.18319999985</v>
      </c>
      <c r="I9" s="77" t="s">
        <v>87</v>
      </c>
      <c r="J9" s="78">
        <f t="shared" ref="J9:J19" si="2">H9*$O$6</f>
        <v>846023.8488479997</v>
      </c>
      <c r="O9">
        <v>36486</v>
      </c>
      <c r="P9" t="s">
        <v>88</v>
      </c>
    </row>
    <row r="10" spans="3:17" ht="18.75">
      <c r="C10" s="56" t="s">
        <v>89</v>
      </c>
      <c r="D10" s="57">
        <v>571042</v>
      </c>
      <c r="E10" s="69" t="s">
        <v>89</v>
      </c>
      <c r="F10" s="70">
        <f t="shared" si="0"/>
        <v>650987.87999999989</v>
      </c>
      <c r="G10" s="62" t="s">
        <v>89</v>
      </c>
      <c r="H10" s="63">
        <f t="shared" si="1"/>
        <v>742126.18319999985</v>
      </c>
      <c r="I10" s="77" t="s">
        <v>89</v>
      </c>
      <c r="J10" s="78">
        <f t="shared" si="2"/>
        <v>846023.8488479997</v>
      </c>
      <c r="L10" t="s">
        <v>90</v>
      </c>
    </row>
    <row r="11" spans="3:17" ht="18.75">
      <c r="C11" s="56" t="s">
        <v>91</v>
      </c>
      <c r="D11" s="57">
        <v>571042</v>
      </c>
      <c r="E11" s="69" t="s">
        <v>91</v>
      </c>
      <c r="F11" s="70">
        <f t="shared" si="0"/>
        <v>650987.87999999989</v>
      </c>
      <c r="G11" s="62" t="s">
        <v>91</v>
      </c>
      <c r="H11" s="63">
        <f t="shared" si="1"/>
        <v>742126.18319999985</v>
      </c>
      <c r="I11" s="77" t="s">
        <v>91</v>
      </c>
      <c r="J11" s="78">
        <f t="shared" si="2"/>
        <v>846023.8488479997</v>
      </c>
      <c r="L11" t="s">
        <v>92</v>
      </c>
    </row>
    <row r="12" spans="3:17" ht="18.75">
      <c r="C12" s="56" t="s">
        <v>93</v>
      </c>
      <c r="D12" s="57">
        <v>571042</v>
      </c>
      <c r="E12" s="69" t="s">
        <v>93</v>
      </c>
      <c r="F12" s="70">
        <f t="shared" si="0"/>
        <v>650987.87999999989</v>
      </c>
      <c r="G12" s="62" t="s">
        <v>93</v>
      </c>
      <c r="H12" s="63">
        <f t="shared" si="1"/>
        <v>742126.18319999985</v>
      </c>
      <c r="I12" s="77" t="s">
        <v>93</v>
      </c>
      <c r="J12" s="78">
        <f t="shared" si="2"/>
        <v>846023.8488479997</v>
      </c>
      <c r="L12" t="s">
        <v>94</v>
      </c>
    </row>
    <row r="13" spans="3:17" ht="18.75">
      <c r="C13" s="56" t="s">
        <v>95</v>
      </c>
      <c r="D13" s="57">
        <v>571042</v>
      </c>
      <c r="E13" s="69" t="s">
        <v>95</v>
      </c>
      <c r="F13" s="70">
        <f t="shared" si="0"/>
        <v>650987.87999999989</v>
      </c>
      <c r="G13" s="62" t="s">
        <v>95</v>
      </c>
      <c r="H13" s="63">
        <f t="shared" si="1"/>
        <v>742126.18319999985</v>
      </c>
      <c r="I13" s="77" t="s">
        <v>95</v>
      </c>
      <c r="J13" s="78">
        <f t="shared" si="2"/>
        <v>846023.8488479997</v>
      </c>
      <c r="L13" s="84">
        <v>0.05</v>
      </c>
    </row>
    <row r="14" spans="3:17" ht="18.75">
      <c r="C14" s="56" t="s">
        <v>96</v>
      </c>
      <c r="D14" s="57">
        <v>571042</v>
      </c>
      <c r="E14" s="69" t="s">
        <v>96</v>
      </c>
      <c r="F14" s="70">
        <f t="shared" si="0"/>
        <v>650987.87999999989</v>
      </c>
      <c r="G14" s="62" t="s">
        <v>96</v>
      </c>
      <c r="H14" s="63">
        <f t="shared" si="1"/>
        <v>742126.18319999985</v>
      </c>
      <c r="I14" s="77" t="s">
        <v>96</v>
      </c>
      <c r="J14" s="78">
        <f t="shared" si="2"/>
        <v>846023.8488479997</v>
      </c>
    </row>
    <row r="15" spans="3:17" ht="18.75">
      <c r="C15" s="56" t="s">
        <v>97</v>
      </c>
      <c r="D15" s="57">
        <v>571042</v>
      </c>
      <c r="E15" s="69" t="s">
        <v>97</v>
      </c>
      <c r="F15" s="70">
        <f t="shared" si="0"/>
        <v>650987.87999999989</v>
      </c>
      <c r="G15" s="62" t="s">
        <v>97</v>
      </c>
      <c r="H15" s="63">
        <f t="shared" si="1"/>
        <v>742126.18319999985</v>
      </c>
      <c r="I15" s="77" t="s">
        <v>97</v>
      </c>
      <c r="J15" s="78">
        <f t="shared" si="2"/>
        <v>846023.8488479997</v>
      </c>
      <c r="N15" s="236" t="s">
        <v>82</v>
      </c>
    </row>
    <row r="16" spans="3:17" ht="18.75">
      <c r="C16" s="56" t="s">
        <v>98</v>
      </c>
      <c r="D16" s="57">
        <v>571042</v>
      </c>
      <c r="E16" s="69" t="s">
        <v>98</v>
      </c>
      <c r="F16" s="70">
        <f t="shared" si="0"/>
        <v>650987.87999999989</v>
      </c>
      <c r="G16" s="62" t="s">
        <v>98</v>
      </c>
      <c r="H16" s="63">
        <f t="shared" si="1"/>
        <v>742126.18319999985</v>
      </c>
      <c r="I16" s="77" t="s">
        <v>98</v>
      </c>
      <c r="J16" s="78">
        <f t="shared" si="2"/>
        <v>846023.8488479997</v>
      </c>
      <c r="N16" t="s">
        <v>3</v>
      </c>
      <c r="O16" t="s">
        <v>4</v>
      </c>
      <c r="P16" t="s">
        <v>5</v>
      </c>
      <c r="Q16" t="s">
        <v>6</v>
      </c>
    </row>
    <row r="17" spans="2:18" ht="18.75">
      <c r="C17" s="56" t="s">
        <v>99</v>
      </c>
      <c r="D17" s="57">
        <v>571042</v>
      </c>
      <c r="E17" s="69" t="s">
        <v>99</v>
      </c>
      <c r="F17" s="70">
        <f t="shared" si="0"/>
        <v>650987.87999999989</v>
      </c>
      <c r="G17" s="62" t="s">
        <v>99</v>
      </c>
      <c r="H17" s="63">
        <f t="shared" si="1"/>
        <v>742126.18319999985</v>
      </c>
      <c r="I17" s="77" t="s">
        <v>99</v>
      </c>
      <c r="J17" s="78">
        <f t="shared" si="2"/>
        <v>846023.8488479997</v>
      </c>
      <c r="N17" s="237">
        <f>D8*12</f>
        <v>6852504</v>
      </c>
      <c r="O17" s="237">
        <f>N17*$O$6</f>
        <v>7811854.5599999996</v>
      </c>
      <c r="P17" s="237">
        <f>O17*$O$6</f>
        <v>8905514.1983999982</v>
      </c>
      <c r="Q17" s="237">
        <f>P17*$O$6</f>
        <v>10152286.186175996</v>
      </c>
    </row>
    <row r="18" spans="2:18" ht="18.75">
      <c r="C18" s="56" t="s">
        <v>100</v>
      </c>
      <c r="D18" s="57">
        <v>571042</v>
      </c>
      <c r="E18" s="69" t="s">
        <v>100</v>
      </c>
      <c r="F18" s="70">
        <f t="shared" si="0"/>
        <v>650987.87999999989</v>
      </c>
      <c r="G18" s="62" t="s">
        <v>100</v>
      </c>
      <c r="H18" s="63">
        <f t="shared" si="1"/>
        <v>742126.18319999985</v>
      </c>
      <c r="I18" s="77" t="s">
        <v>100</v>
      </c>
      <c r="J18" s="78">
        <f t="shared" si="2"/>
        <v>846023.8488479997</v>
      </c>
      <c r="N18" s="237">
        <f>'FLUJO puro'!G60</f>
        <v>187.81187304719617</v>
      </c>
      <c r="O18" s="237">
        <f>Tabla1[[#Totals],[AÑO 1]]*$O$6</f>
        <v>214.10553527380361</v>
      </c>
      <c r="P18" s="237">
        <f>Tabla1[[#Totals],[AÑO 2]]*$O$6</f>
        <v>244.08031021213608</v>
      </c>
      <c r="Q18" s="237">
        <f>Tabla1[[#Totals],[AÑO 3]]*$O$6</f>
        <v>278.25155364183513</v>
      </c>
    </row>
    <row r="19" spans="2:18" ht="19.5" thickBot="1">
      <c r="C19" s="58" t="s">
        <v>101</v>
      </c>
      <c r="D19" s="59">
        <v>571042</v>
      </c>
      <c r="E19" s="71" t="s">
        <v>101</v>
      </c>
      <c r="F19" s="72">
        <f t="shared" si="0"/>
        <v>650987.87999999989</v>
      </c>
      <c r="G19" s="64" t="s">
        <v>101</v>
      </c>
      <c r="H19" s="65">
        <f t="shared" si="1"/>
        <v>742126.18319999985</v>
      </c>
      <c r="I19" s="79" t="s">
        <v>101</v>
      </c>
      <c r="J19" s="80">
        <f t="shared" si="2"/>
        <v>846023.8488479997</v>
      </c>
      <c r="N19" s="237">
        <v>187.81187304719617</v>
      </c>
      <c r="O19" s="237">
        <v>214.10553527380364</v>
      </c>
      <c r="P19" s="237">
        <v>244.08031021213611</v>
      </c>
      <c r="Q19" s="237">
        <v>278.25155364183513</v>
      </c>
      <c r="R19" t="s">
        <v>102</v>
      </c>
    </row>
    <row r="20" spans="2:18" ht="19.5" thickBot="1">
      <c r="C20" s="74" t="s">
        <v>103</v>
      </c>
      <c r="D20" s="53">
        <f>SUM(D8:D19)</f>
        <v>6852504</v>
      </c>
      <c r="E20" s="73" t="s">
        <v>104</v>
      </c>
      <c r="F20" s="53">
        <f>SUM(F8:F19)</f>
        <v>7811854.5599999987</v>
      </c>
      <c r="G20" s="66" t="s">
        <v>105</v>
      </c>
      <c r="H20" s="53">
        <f>SUM(H8:H19)</f>
        <v>8905514.1983999982</v>
      </c>
      <c r="I20" s="81" t="s">
        <v>106</v>
      </c>
      <c r="J20" s="53">
        <f>SUM(J8:J19)</f>
        <v>10152286.186176</v>
      </c>
    </row>
    <row r="21" spans="2:18" ht="19.5" thickBot="1">
      <c r="C21" s="74" t="s">
        <v>107</v>
      </c>
      <c r="D21" s="53">
        <f>D20/36486</f>
        <v>187.81187304719617</v>
      </c>
      <c r="E21" s="73" t="s">
        <v>108</v>
      </c>
      <c r="F21" s="53">
        <f>F20/36486</f>
        <v>214.10553527380361</v>
      </c>
      <c r="G21" s="66" t="s">
        <v>109</v>
      </c>
      <c r="H21" s="53">
        <f>H20/36486</f>
        <v>244.08031021213611</v>
      </c>
      <c r="I21" s="81" t="s">
        <v>110</v>
      </c>
      <c r="J21" s="53">
        <f>J20/36486</f>
        <v>278.25155364183524</v>
      </c>
    </row>
    <row r="23" spans="2:18" ht="16.5" thickBot="1"/>
    <row r="24" spans="2:18" ht="16.5" thickBot="1">
      <c r="C24" s="325" t="s">
        <v>111</v>
      </c>
      <c r="D24" s="326"/>
      <c r="E24" s="326"/>
      <c r="F24" s="326"/>
      <c r="G24" s="326"/>
      <c r="H24" s="326"/>
      <c r="I24" s="326"/>
      <c r="J24" s="327"/>
    </row>
    <row r="25" spans="2:18" ht="18.75">
      <c r="C25" s="308" t="s">
        <v>3</v>
      </c>
      <c r="D25" s="309"/>
      <c r="E25" s="310" t="s">
        <v>4</v>
      </c>
      <c r="F25" s="311"/>
      <c r="G25" s="312" t="s">
        <v>5</v>
      </c>
      <c r="H25" s="313"/>
      <c r="I25" s="314" t="s">
        <v>6</v>
      </c>
      <c r="J25" s="315"/>
    </row>
    <row r="26" spans="2:18" ht="30" customHeight="1">
      <c r="C26" s="328" t="s">
        <v>112</v>
      </c>
      <c r="D26" s="328"/>
      <c r="E26" s="328"/>
      <c r="F26" s="328"/>
      <c r="G26" s="328"/>
      <c r="H26" s="328"/>
      <c r="I26" s="328"/>
      <c r="J26" s="328"/>
    </row>
    <row r="27" spans="2:18">
      <c r="C27" s="106" t="s">
        <v>113</v>
      </c>
      <c r="D27" s="106" t="s">
        <v>114</v>
      </c>
      <c r="E27" s="31" t="s">
        <v>113</v>
      </c>
      <c r="F27" s="31" t="s">
        <v>114</v>
      </c>
      <c r="G27" s="31" t="s">
        <v>113</v>
      </c>
      <c r="H27" s="31" t="s">
        <v>114</v>
      </c>
      <c r="I27" s="31" t="s">
        <v>113</v>
      </c>
      <c r="J27" s="31" t="s">
        <v>114</v>
      </c>
    </row>
    <row r="28" spans="2:18">
      <c r="B28" s="102" t="s">
        <v>115</v>
      </c>
      <c r="C28" s="103">
        <v>1775100</v>
      </c>
      <c r="D28" s="104">
        <f>C28/36486</f>
        <v>48.651537576056569</v>
      </c>
      <c r="E28" s="104">
        <f t="shared" ref="E28:J28" si="3">C28*$O$7</f>
        <v>1858884.7199999997</v>
      </c>
      <c r="F28" s="104">
        <f t="shared" si="3"/>
        <v>50.947890149646433</v>
      </c>
      <c r="G28" s="104">
        <f t="shared" si="3"/>
        <v>1946624.0787839997</v>
      </c>
      <c r="H28" s="104">
        <f t="shared" si="3"/>
        <v>53.352630564709742</v>
      </c>
      <c r="I28" s="104">
        <f t="shared" si="3"/>
        <v>2038504.7353026043</v>
      </c>
      <c r="J28" s="104">
        <f t="shared" si="3"/>
        <v>55.87087472736404</v>
      </c>
    </row>
    <row r="29" spans="2:18">
      <c r="B29" s="102" t="s">
        <v>116</v>
      </c>
      <c r="C29" s="103">
        <v>1424050</v>
      </c>
      <c r="D29" s="104">
        <f>C29/36486</f>
        <v>39.030038919037437</v>
      </c>
      <c r="E29" s="104">
        <f t="shared" ref="E29:J31" si="4">C29*$O$7</f>
        <v>1491265.16</v>
      </c>
      <c r="F29" s="104">
        <f t="shared" si="4"/>
        <v>40.872256756016</v>
      </c>
      <c r="G29" s="104">
        <f t="shared" si="4"/>
        <v>1561652.8755519998</v>
      </c>
      <c r="H29" s="104">
        <f t="shared" si="4"/>
        <v>42.80142727489995</v>
      </c>
      <c r="I29" s="104">
        <f t="shared" si="4"/>
        <v>1635362.8912780541</v>
      </c>
      <c r="J29" s="104">
        <f t="shared" si="4"/>
        <v>44.821654642275227</v>
      </c>
    </row>
    <row r="30" spans="2:18">
      <c r="B30" s="102" t="s">
        <v>117</v>
      </c>
      <c r="C30" s="103">
        <v>1504500</v>
      </c>
      <c r="D30" s="104">
        <f>C30/36486</f>
        <v>41.234994244367705</v>
      </c>
      <c r="E30" s="104">
        <f t="shared" si="4"/>
        <v>1575512.4</v>
      </c>
      <c r="F30" s="104">
        <f t="shared" si="4"/>
        <v>43.181285972701858</v>
      </c>
      <c r="G30" s="104">
        <f t="shared" si="4"/>
        <v>1649876.5852799998</v>
      </c>
      <c r="H30" s="104">
        <f t="shared" si="4"/>
        <v>45.219442670613383</v>
      </c>
      <c r="I30" s="104">
        <f t="shared" si="4"/>
        <v>1727750.7601052157</v>
      </c>
      <c r="J30" s="104">
        <f t="shared" si="4"/>
        <v>47.353800364666327</v>
      </c>
    </row>
    <row r="31" spans="2:18">
      <c r="B31" s="105" t="s">
        <v>118</v>
      </c>
      <c r="C31" s="104">
        <f>SUM(C28:C30)</f>
        <v>4703650</v>
      </c>
      <c r="D31" s="104">
        <f>SUM(D28:D30)</f>
        <v>128.91657073946172</v>
      </c>
      <c r="E31" s="104">
        <f t="shared" si="4"/>
        <v>4925662.2799999993</v>
      </c>
      <c r="F31" s="104">
        <f t="shared" si="4"/>
        <v>135.00143287836431</v>
      </c>
      <c r="G31" s="104">
        <f t="shared" si="4"/>
        <v>5158153.539615999</v>
      </c>
      <c r="H31" s="104">
        <f t="shared" si="4"/>
        <v>141.3735005102231</v>
      </c>
      <c r="I31" s="104">
        <f t="shared" si="4"/>
        <v>5401618.3866858734</v>
      </c>
      <c r="J31" s="104">
        <f t="shared" si="4"/>
        <v>148.0463297343056</v>
      </c>
    </row>
    <row r="33" spans="3:7">
      <c r="C33" s="297" t="s">
        <v>119</v>
      </c>
      <c r="D33" s="297"/>
      <c r="E33" s="297"/>
      <c r="F33" s="297"/>
    </row>
    <row r="34" spans="3:7">
      <c r="C34" s="100" t="s">
        <v>3</v>
      </c>
      <c r="D34" s="100" t="s">
        <v>4</v>
      </c>
      <c r="E34" s="100" t="s">
        <v>5</v>
      </c>
      <c r="F34" s="100" t="s">
        <v>6</v>
      </c>
    </row>
    <row r="35" spans="3:7">
      <c r="C35" s="107">
        <f>D31*$O$8</f>
        <v>15.469988488735405</v>
      </c>
      <c r="D35" s="107">
        <f>F31*$O$8</f>
        <v>16.200171945403717</v>
      </c>
      <c r="E35" s="107">
        <f>H31*$O$8</f>
        <v>16.964820061226771</v>
      </c>
      <c r="F35" s="107">
        <f>J31*$O$8</f>
        <v>17.765559568116672</v>
      </c>
    </row>
    <row r="37" spans="3:7">
      <c r="C37" s="329" t="s">
        <v>120</v>
      </c>
      <c r="D37" s="329"/>
      <c r="E37" s="329"/>
      <c r="F37" s="329"/>
      <c r="G37" s="329"/>
    </row>
    <row r="38" spans="3:7" ht="31.5">
      <c r="C38" s="110" t="s">
        <v>121</v>
      </c>
      <c r="D38" s="330">
        <v>4.7199999999999999E-2</v>
      </c>
      <c r="E38" s="330"/>
      <c r="F38" s="330"/>
      <c r="G38" s="330"/>
    </row>
    <row r="39" spans="3:7">
      <c r="D39" s="108" t="s">
        <v>122</v>
      </c>
      <c r="E39" s="108" t="s">
        <v>123</v>
      </c>
      <c r="F39" s="108" t="s">
        <v>124</v>
      </c>
      <c r="G39" s="108" t="s">
        <v>125</v>
      </c>
    </row>
    <row r="40" spans="3:7">
      <c r="C40" s="108" t="s">
        <v>126</v>
      </c>
      <c r="D40" s="109">
        <v>1</v>
      </c>
      <c r="E40" s="109">
        <f>D40*(1+19%)</f>
        <v>1.19</v>
      </c>
      <c r="F40" s="109">
        <f t="shared" ref="F40:G42" si="5">D40*12</f>
        <v>12</v>
      </c>
      <c r="G40" s="109">
        <f t="shared" si="5"/>
        <v>14.28</v>
      </c>
    </row>
    <row r="41" spans="3:7">
      <c r="C41" s="108" t="s">
        <v>127</v>
      </c>
      <c r="D41" s="109">
        <v>1.4</v>
      </c>
      <c r="E41" s="109">
        <f>D41*(1+19%)</f>
        <v>1.6659999999999999</v>
      </c>
      <c r="F41" s="109">
        <f t="shared" si="5"/>
        <v>16.799999999999997</v>
      </c>
      <c r="G41" s="109">
        <f t="shared" si="5"/>
        <v>19.991999999999997</v>
      </c>
    </row>
    <row r="42" spans="3:7">
      <c r="C42" s="108" t="s">
        <v>128</v>
      </c>
      <c r="D42" s="109">
        <v>1.4</v>
      </c>
      <c r="E42" s="109">
        <f>D42*(1+19%)</f>
        <v>1.6659999999999999</v>
      </c>
      <c r="F42" s="109">
        <f t="shared" si="5"/>
        <v>16.799999999999997</v>
      </c>
      <c r="G42" s="109">
        <f t="shared" si="5"/>
        <v>19.991999999999997</v>
      </c>
    </row>
    <row r="43" spans="3:7">
      <c r="C43" s="108" t="s">
        <v>118</v>
      </c>
      <c r="D43" s="109">
        <f>SUM(D40:D42)</f>
        <v>3.8</v>
      </c>
      <c r="E43" s="109">
        <f>SUM(E40:E42)</f>
        <v>4.5220000000000002</v>
      </c>
      <c r="F43" s="109">
        <f>SUM(F40:F42)</f>
        <v>45.599999999999994</v>
      </c>
      <c r="G43" s="109">
        <f>SUM(G40:G42)</f>
        <v>54.263999999999996</v>
      </c>
    </row>
    <row r="45" spans="3:7">
      <c r="C45" s="111" t="s">
        <v>3</v>
      </c>
      <c r="D45" s="111" t="s">
        <v>4</v>
      </c>
      <c r="E45" s="111" t="s">
        <v>5</v>
      </c>
      <c r="F45" s="111" t="s">
        <v>6</v>
      </c>
    </row>
    <row r="46" spans="3:7">
      <c r="C46" s="112">
        <f>G43</f>
        <v>54.263999999999996</v>
      </c>
      <c r="D46" s="113">
        <f>C46*$O$7</f>
        <v>56.825260799999988</v>
      </c>
      <c r="E46" s="113">
        <f>D46*$O$7</f>
        <v>59.50741310975998</v>
      </c>
      <c r="F46" s="113">
        <f>E46*$O$7</f>
        <v>62.316163008540649</v>
      </c>
    </row>
    <row r="50" spans="3:6">
      <c r="C50" s="316" t="s">
        <v>129</v>
      </c>
      <c r="D50" s="316"/>
      <c r="E50" s="316"/>
      <c r="F50" s="316"/>
    </row>
    <row r="51" spans="3:6">
      <c r="C51" s="115" t="s">
        <v>3</v>
      </c>
      <c r="D51" s="115" t="s">
        <v>4</v>
      </c>
      <c r="E51" s="115" t="s">
        <v>5</v>
      </c>
      <c r="F51" s="115" t="s">
        <v>6</v>
      </c>
    </row>
    <row r="52" spans="3:6">
      <c r="C52" s="114">
        <f>C35+C46</f>
        <v>69.733988488735406</v>
      </c>
      <c r="D52" s="114">
        <f>D35+D46</f>
        <v>73.025432745403705</v>
      </c>
      <c r="E52" s="114">
        <f>E35+E46</f>
        <v>76.472233170986755</v>
      </c>
      <c r="F52" s="114">
        <f>F35+F46</f>
        <v>80.081722576657313</v>
      </c>
    </row>
    <row r="54" spans="3:6">
      <c r="C54" s="114">
        <v>69.733988488735406</v>
      </c>
    </row>
  </sheetData>
  <mergeCells count="15">
    <mergeCell ref="C50:F50"/>
    <mergeCell ref="C7:D7"/>
    <mergeCell ref="E7:F7"/>
    <mergeCell ref="G7:H7"/>
    <mergeCell ref="I7:J7"/>
    <mergeCell ref="C24:J24"/>
    <mergeCell ref="C26:J26"/>
    <mergeCell ref="C33:F33"/>
    <mergeCell ref="C37:G37"/>
    <mergeCell ref="D38:G38"/>
    <mergeCell ref="C6:J6"/>
    <mergeCell ref="C25:D25"/>
    <mergeCell ref="E25:F25"/>
    <mergeCell ref="G25:H25"/>
    <mergeCell ref="I25:J25"/>
  </mergeCells>
  <phoneticPr fontId="12" type="noConversion"/>
  <pageMargins left="0.7" right="0.7" top="0.75" bottom="0.75" header="0.3" footer="0.3"/>
  <pageSetup orientation="portrait" r:id="rId1"/>
  <headerFooter>
    <oddFooter>&amp;C&amp;1#&amp;"Calibri"&amp;6&amp;K000000Public</oddFooter>
  </headerFooter>
  <ignoredErrors>
    <ignoredError sqref="D35" formula="1"/>
  </ignoredErrors>
  <legacy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7:N26"/>
  <sheetViews>
    <sheetView showGridLines="0" zoomScale="80" zoomScaleNormal="80" workbookViewId="0">
      <selection activeCell="N19" sqref="N19"/>
    </sheetView>
  </sheetViews>
  <sheetFormatPr baseColWidth="10" defaultColWidth="10.625" defaultRowHeight="15.75"/>
  <cols>
    <col min="2" max="2" width="10.875" customWidth="1"/>
    <col min="3" max="3" width="5.875" customWidth="1"/>
    <col min="4" max="4" width="26.5" customWidth="1"/>
    <col min="5" max="5" width="8.375" bestFit="1" customWidth="1"/>
    <col min="6" max="6" width="12.125" customWidth="1"/>
    <col min="7" max="7" width="15.625" customWidth="1"/>
    <col min="8" max="8" width="12.375" customWidth="1"/>
    <col min="9" max="9" width="11.5" customWidth="1"/>
    <col min="13" max="13" width="11.625" bestFit="1" customWidth="1"/>
  </cols>
  <sheetData>
    <row r="7" spans="3:13" ht="16.5" thickBot="1"/>
    <row r="8" spans="3:13" ht="18.95" customHeight="1" thickBot="1">
      <c r="C8" s="1"/>
      <c r="D8" s="23" t="s">
        <v>130</v>
      </c>
      <c r="E8" s="2"/>
      <c r="F8" s="2"/>
      <c r="G8" s="2"/>
      <c r="H8" s="2"/>
    </row>
    <row r="9" spans="3:13" ht="33.950000000000003" customHeight="1" thickBot="1">
      <c r="C9" s="1"/>
      <c r="D9" s="10" t="s">
        <v>131</v>
      </c>
      <c r="E9" s="27" t="s">
        <v>132</v>
      </c>
      <c r="F9" s="14" t="s">
        <v>133</v>
      </c>
      <c r="G9" s="18" t="s">
        <v>134</v>
      </c>
      <c r="H9" s="276" t="s">
        <v>135</v>
      </c>
      <c r="I9" s="277" t="s">
        <v>136</v>
      </c>
    </row>
    <row r="10" spans="3:13" ht="24.95" customHeight="1">
      <c r="C10" s="3">
        <v>1</v>
      </c>
      <c r="D10" s="6" t="s">
        <v>137</v>
      </c>
      <c r="E10" s="11">
        <v>3</v>
      </c>
      <c r="F10" s="15">
        <v>1195560</v>
      </c>
      <c r="G10" s="19">
        <f>F10*1.19</f>
        <v>1422716.4</v>
      </c>
      <c r="H10" s="24">
        <f>E10*G10</f>
        <v>4268149.1999999993</v>
      </c>
      <c r="I10" s="278">
        <f t="shared" ref="I10:I15" si="0">H10/$M$16</f>
        <v>116.66920516278721</v>
      </c>
    </row>
    <row r="11" spans="3:13" ht="24.95" customHeight="1">
      <c r="C11" s="4">
        <v>2</v>
      </c>
      <c r="D11" s="7" t="s">
        <v>138</v>
      </c>
      <c r="E11" s="12">
        <v>3</v>
      </c>
      <c r="F11" s="16">
        <v>100832</v>
      </c>
      <c r="G11" s="20">
        <f>F11*1.19</f>
        <v>119990.08</v>
      </c>
      <c r="H11" s="25">
        <f>E11*G11</f>
        <v>359970.24</v>
      </c>
      <c r="I11" s="278">
        <f t="shared" si="0"/>
        <v>9.8397314187277605</v>
      </c>
    </row>
    <row r="12" spans="3:13" ht="35.1" customHeight="1">
      <c r="C12" s="4">
        <v>3</v>
      </c>
      <c r="D12" s="8" t="s">
        <v>139</v>
      </c>
      <c r="E12" s="12">
        <v>3</v>
      </c>
      <c r="F12" s="16">
        <v>13437</v>
      </c>
      <c r="G12" s="20">
        <f>F12*1.19</f>
        <v>15990.029999999999</v>
      </c>
      <c r="H12" s="25">
        <f>E12*G12</f>
        <v>47970.09</v>
      </c>
      <c r="I12" s="278">
        <f t="shared" si="0"/>
        <v>1.3112550685639965</v>
      </c>
    </row>
    <row r="13" spans="3:13" ht="24.95" customHeight="1">
      <c r="C13" s="4">
        <v>4</v>
      </c>
      <c r="D13" s="7" t="s">
        <v>140</v>
      </c>
      <c r="E13" s="12">
        <v>3</v>
      </c>
      <c r="F13" s="16">
        <v>109210</v>
      </c>
      <c r="G13" s="20">
        <f>F13*1.19</f>
        <v>129959.9</v>
      </c>
      <c r="H13" s="25">
        <f>E13*G13</f>
        <v>389879.69999999995</v>
      </c>
      <c r="I13" s="278">
        <f t="shared" si="0"/>
        <v>10.657301930332222</v>
      </c>
    </row>
    <row r="14" spans="3:13" ht="24.95" customHeight="1" thickBot="1">
      <c r="C14" s="5">
        <v>5</v>
      </c>
      <c r="D14" s="9" t="s">
        <v>141</v>
      </c>
      <c r="E14" s="13">
        <v>3</v>
      </c>
      <c r="F14" s="17">
        <v>84025</v>
      </c>
      <c r="G14" s="21">
        <f>F14*1.19</f>
        <v>99989.75</v>
      </c>
      <c r="H14" s="26">
        <f>E14*G14</f>
        <v>299969.25</v>
      </c>
      <c r="I14" s="278">
        <f t="shared" si="0"/>
        <v>8.1996135399337522</v>
      </c>
    </row>
    <row r="15" spans="3:13" ht="20.100000000000001" customHeight="1" thickBot="1">
      <c r="C15" s="331" t="s">
        <v>142</v>
      </c>
      <c r="D15" s="332"/>
      <c r="E15" s="332"/>
      <c r="F15" s="333"/>
      <c r="G15" s="22" t="s">
        <v>118</v>
      </c>
      <c r="H15" s="28">
        <f>SUM(H10:H14)</f>
        <v>5365938.4799999995</v>
      </c>
      <c r="I15" s="278">
        <f t="shared" si="0"/>
        <v>146.67710712034494</v>
      </c>
    </row>
    <row r="16" spans="3:13" ht="32.25" thickBot="1">
      <c r="G16" s="274" t="s">
        <v>143</v>
      </c>
      <c r="H16" s="279">
        <f>H15*0.25</f>
        <v>1341484.6199999999</v>
      </c>
      <c r="I16" s="280">
        <f>I15*0.25</f>
        <v>36.669276780086236</v>
      </c>
      <c r="L16" t="s">
        <v>144</v>
      </c>
      <c r="M16">
        <v>36583.339999999997</v>
      </c>
    </row>
    <row r="17" spans="4:14" ht="34.5" customHeight="1" thickBot="1">
      <c r="G17" s="275" t="s">
        <v>145</v>
      </c>
      <c r="H17" s="281">
        <f>SUM(H15:H16)</f>
        <v>6707423.0999999996</v>
      </c>
      <c r="I17" s="282">
        <f>SUM(I15:I16)</f>
        <v>183.34638390043119</v>
      </c>
      <c r="M17" s="220">
        <f>M16*I17</f>
        <v>6707423.0999999996</v>
      </c>
    </row>
    <row r="18" spans="4:14">
      <c r="M18">
        <v>1.29</v>
      </c>
    </row>
    <row r="19" spans="4:14">
      <c r="M19">
        <v>12</v>
      </c>
      <c r="N19" s="273">
        <f>(M18*M19)/100</f>
        <v>0.15479999999999999</v>
      </c>
    </row>
    <row r="23" spans="4:14">
      <c r="D23" t="s">
        <v>146</v>
      </c>
    </row>
    <row r="24" spans="4:14">
      <c r="D24" s="30">
        <f>I15</f>
        <v>146.67710712034494</v>
      </c>
    </row>
    <row r="25" spans="4:14">
      <c r="D25" t="s">
        <v>147</v>
      </c>
    </row>
    <row r="26" spans="4:14">
      <c r="D26" s="29">
        <f>D24*19%</f>
        <v>27.86865035286554</v>
      </c>
    </row>
  </sheetData>
  <mergeCells count="1">
    <mergeCell ref="C15:F15"/>
  </mergeCells>
  <pageMargins left="0.7" right="0.7" top="0.75" bottom="0.75" header="0.3" footer="0.3"/>
  <pageSetup orientation="portrait" r:id="rId1"/>
  <headerFooter>
    <oddFooter>&amp;C&amp;1#&amp;"Calibri"&amp;6&amp;K000000Public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6:J25"/>
  <sheetViews>
    <sheetView showGridLines="0" topLeftCell="A7" zoomScale="70" zoomScaleNormal="70" workbookViewId="0">
      <selection activeCell="N20" sqref="N20"/>
    </sheetView>
  </sheetViews>
  <sheetFormatPr baseColWidth="10" defaultColWidth="10.625" defaultRowHeight="15.75"/>
  <cols>
    <col min="5" max="5" width="22.5" customWidth="1"/>
    <col min="6" max="6" width="15.375" customWidth="1"/>
    <col min="8" max="8" width="23.875" bestFit="1" customWidth="1"/>
  </cols>
  <sheetData>
    <row r="6" spans="5:6" ht="16.5" thickBot="1"/>
    <row r="7" spans="5:6" ht="19.5" thickBot="1">
      <c r="E7" s="39" t="s">
        <v>148</v>
      </c>
      <c r="F7" s="40" t="s">
        <v>149</v>
      </c>
    </row>
    <row r="8" spans="5:6" ht="18.75">
      <c r="E8" s="32" t="s">
        <v>150</v>
      </c>
      <c r="F8" s="130">
        <f>'ACTIVOS FIJOS'!I15</f>
        <v>146.67710712034494</v>
      </c>
    </row>
    <row r="9" spans="5:6" ht="18.75">
      <c r="E9" s="33" t="s">
        <v>151</v>
      </c>
      <c r="F9" s="36">
        <v>0</v>
      </c>
    </row>
    <row r="10" spans="5:6" ht="18.75">
      <c r="E10" s="33" t="s">
        <v>152</v>
      </c>
      <c r="F10" s="37">
        <f>F8</f>
        <v>146.67710712034494</v>
      </c>
    </row>
    <row r="11" spans="5:6" ht="18.75">
      <c r="E11" s="41" t="s">
        <v>153</v>
      </c>
      <c r="F11" s="42">
        <f>F10*0.27</f>
        <v>39.602818922493135</v>
      </c>
    </row>
    <row r="12" spans="5:6" ht="18.75">
      <c r="E12" s="33" t="s">
        <v>154</v>
      </c>
      <c r="F12" s="37">
        <f>F10-F11</f>
        <v>107.07428819785181</v>
      </c>
    </row>
    <row r="13" spans="5:6" ht="18.75">
      <c r="E13" s="33" t="s">
        <v>155</v>
      </c>
      <c r="F13" s="36">
        <v>0</v>
      </c>
    </row>
    <row r="14" spans="5:6" ht="19.5" thickBot="1">
      <c r="E14" s="43" t="s">
        <v>156</v>
      </c>
      <c r="F14" s="44">
        <f>F12</f>
        <v>107.07428819785181</v>
      </c>
    </row>
    <row r="19" spans="5:10" ht="16.5" thickBot="1"/>
    <row r="20" spans="5:10" ht="38.25" thickBot="1">
      <c r="E20" s="49" t="s">
        <v>157</v>
      </c>
      <c r="F20" s="50" t="s">
        <v>149</v>
      </c>
      <c r="G20" s="51" t="s">
        <v>158</v>
      </c>
      <c r="H20" s="50" t="s">
        <v>159</v>
      </c>
      <c r="I20" s="51" t="s">
        <v>160</v>
      </c>
      <c r="J20" s="52" t="s">
        <v>161</v>
      </c>
    </row>
    <row r="21" spans="5:10" ht="18.75">
      <c r="E21" s="32" t="s">
        <v>162</v>
      </c>
      <c r="F21" s="131">
        <f>'ACTIVOS FIJOS'!I10</f>
        <v>116.66920516278721</v>
      </c>
      <c r="G21" s="46">
        <v>6</v>
      </c>
      <c r="H21" s="35">
        <v>2</v>
      </c>
      <c r="I21" s="132">
        <f>F21/H21</f>
        <v>58.334602581393604</v>
      </c>
      <c r="J21" s="130">
        <f>I21</f>
        <v>58.334602581393604</v>
      </c>
    </row>
    <row r="22" spans="5:10" ht="18.75">
      <c r="E22" s="33" t="s">
        <v>163</v>
      </c>
      <c r="F22" s="37">
        <f>'ACTIVOS FIJOS'!I11</f>
        <v>9.8397314187277605</v>
      </c>
      <c r="G22" s="47">
        <v>6</v>
      </c>
      <c r="H22" s="36">
        <v>2</v>
      </c>
      <c r="I22" s="133">
        <f>F22/H22</f>
        <v>4.9198657093638802</v>
      </c>
      <c r="J22" s="37">
        <f>I22</f>
        <v>4.9198657093638802</v>
      </c>
    </row>
    <row r="23" spans="5:10" ht="18.75">
      <c r="E23" s="33" t="s">
        <v>164</v>
      </c>
      <c r="F23" s="37">
        <f>'ACTIVOS FIJOS'!I13+'ACTIVOS FIJOS'!I14</f>
        <v>18.856915470265974</v>
      </c>
      <c r="G23" s="47">
        <v>7</v>
      </c>
      <c r="H23" s="36">
        <v>2</v>
      </c>
      <c r="I23" s="133">
        <f>F23/H23</f>
        <v>9.4284577351329872</v>
      </c>
      <c r="J23" s="37">
        <f>I23</f>
        <v>9.4284577351329872</v>
      </c>
    </row>
    <row r="24" spans="5:10" ht="19.5" thickBot="1">
      <c r="E24" s="34" t="s">
        <v>165</v>
      </c>
      <c r="F24" s="38">
        <f>'ACTIVOS FIJOS'!I12</f>
        <v>1.3112550685639965</v>
      </c>
      <c r="G24" s="48">
        <v>3</v>
      </c>
      <c r="H24" s="45">
        <v>1</v>
      </c>
      <c r="I24" s="134">
        <f>F24/H24</f>
        <v>1.3112550685639965</v>
      </c>
      <c r="J24" s="135">
        <f>I24</f>
        <v>1.3112550685639965</v>
      </c>
    </row>
    <row r="25" spans="5:10" ht="16.5" thickBot="1">
      <c r="I25" s="157">
        <f>SUM(I21:I24)</f>
        <v>73.994181094454476</v>
      </c>
      <c r="J25" s="158">
        <f>I25</f>
        <v>73.994181094454476</v>
      </c>
    </row>
  </sheetData>
  <pageMargins left="0.7" right="0.7" top="0.75" bottom="0.75" header="0.3" footer="0.3"/>
  <pageSetup orientation="portrait" r:id="rId1"/>
  <headerFooter>
    <oddFooter>&amp;C&amp;1#&amp;"Calibri"&amp;6&amp;K000000Public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2:I17"/>
  <sheetViews>
    <sheetView showGridLines="0" zoomScale="80" zoomScaleNormal="80" workbookViewId="0">
      <selection activeCell="D11" sqref="D11:J19"/>
    </sheetView>
  </sheetViews>
  <sheetFormatPr baseColWidth="10" defaultColWidth="10.625" defaultRowHeight="15.75"/>
  <cols>
    <col min="5" max="5" width="18.875" customWidth="1"/>
  </cols>
  <sheetData>
    <row r="12" spans="5:9" ht="16.5" thickBot="1"/>
    <row r="13" spans="5:9" ht="16.5" thickBot="1">
      <c r="E13" s="207" t="s">
        <v>166</v>
      </c>
      <c r="F13" s="208" t="s">
        <v>167</v>
      </c>
      <c r="G13" s="209" t="s">
        <v>168</v>
      </c>
      <c r="H13" s="209" t="s">
        <v>169</v>
      </c>
      <c r="I13" s="210" t="s">
        <v>36</v>
      </c>
    </row>
    <row r="14" spans="5:9">
      <c r="E14" s="211" t="s">
        <v>170</v>
      </c>
      <c r="F14" s="214">
        <f>'FLUJO puro'!C45</f>
        <v>285.55895426480055</v>
      </c>
      <c r="G14" s="244">
        <f>'FLUJO puro'!C46</f>
        <v>0.59193903038601459</v>
      </c>
      <c r="H14" s="106">
        <v>2</v>
      </c>
      <c r="I14" s="215">
        <f>'FLUJO puro'!C48</f>
        <v>1.5574834266700199</v>
      </c>
    </row>
    <row r="15" spans="5:9">
      <c r="E15" s="212">
        <v>0.25</v>
      </c>
      <c r="F15" s="216">
        <f>'FLUJO 25%'!C45</f>
        <v>292.24271146831387</v>
      </c>
      <c r="G15" s="245">
        <f>'FLUJO 25%'!C46</f>
        <v>0.71818398606991352</v>
      </c>
      <c r="H15" s="31">
        <v>2</v>
      </c>
      <c r="I15" s="218">
        <f>'FLUJO 25%'!C48</f>
        <v>2.1252502522003769</v>
      </c>
    </row>
    <row r="16" spans="5:9">
      <c r="E16" s="212">
        <v>0.5</v>
      </c>
      <c r="F16" s="216">
        <f>'FLUJO 50%'!C45</f>
        <v>298.92646867182708</v>
      </c>
      <c r="G16" s="245">
        <f>'FLUJO 50%'!C46</f>
        <v>0.93495514399419877</v>
      </c>
      <c r="H16" s="31">
        <v>2</v>
      </c>
      <c r="I16" s="218">
        <f>'FLUJO 50%'!C48</f>
        <v>3.2607839032610895</v>
      </c>
    </row>
    <row r="17" spans="5:9" ht="16.5" thickBot="1">
      <c r="E17" s="213">
        <v>0.75</v>
      </c>
      <c r="F17" s="217">
        <f>'FLUJO 75%'!C45</f>
        <v>315.55058372822276</v>
      </c>
      <c r="G17" s="246">
        <f>'FLUJO 75%'!C46</f>
        <v>1.5437905525236331</v>
      </c>
      <c r="H17" s="206">
        <v>2</v>
      </c>
      <c r="I17" s="219">
        <f>'FLUJO 75%'!C48</f>
        <v>6.8842499538924509</v>
      </c>
    </row>
  </sheetData>
  <pageMargins left="0.7" right="0.7" top="0.75" bottom="0.75" header="0.3" footer="0.3"/>
  <pageSetup orientation="portrait" r:id="rId1"/>
  <headerFooter>
    <oddFooter>&amp;C&amp;1#&amp;"Calibri"&amp;6&amp;K000000Public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C3F868627F2348A75A99F7727B2383" ma:contentTypeVersion="7" ma:contentTypeDescription="Crear nuevo documento." ma:contentTypeScope="" ma:versionID="c90768cbedef8c8ea31768c8a83be8ee">
  <xsd:schema xmlns:xsd="http://www.w3.org/2001/XMLSchema" xmlns:xs="http://www.w3.org/2001/XMLSchema" xmlns:p="http://schemas.microsoft.com/office/2006/metadata/properties" xmlns:ns3="a720ecb3-be45-43c9-ad01-d7010e591473" xmlns:ns4="1d74c442-9d4f-47a3-9357-501fd049fb12" targetNamespace="http://schemas.microsoft.com/office/2006/metadata/properties" ma:root="true" ma:fieldsID="6f4b2e4c1d9730ecb0faf2784cea38f1" ns3:_="" ns4:_="">
    <xsd:import namespace="a720ecb3-be45-43c9-ad01-d7010e591473"/>
    <xsd:import namespace="1d74c442-9d4f-47a3-9357-501fd049fb1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0ecb3-be45-43c9-ad01-d7010e5914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74c442-9d4f-47a3-9357-501fd049fb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720ecb3-be45-43c9-ad01-d7010e591473" xsi:nil="true"/>
  </documentManagement>
</p:properties>
</file>

<file path=customXml/itemProps1.xml><?xml version="1.0" encoding="utf-8"?>
<ds:datastoreItem xmlns:ds="http://schemas.openxmlformats.org/officeDocument/2006/customXml" ds:itemID="{C0CDF191-D98B-424F-9DFF-60FC3F0264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20ecb3-be45-43c9-ad01-d7010e591473"/>
    <ds:schemaRef ds:uri="1d74c442-9d4f-47a3-9357-501fd049fb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86DC743-65AE-423C-AE29-052D301895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2D98D7F-C77C-4DFB-B1BD-FCB8FC8B1E9C}">
  <ds:schemaRefs>
    <ds:schemaRef ds:uri="http://purl.org/dc/elements/1.1/"/>
    <ds:schemaRef ds:uri="http://purl.org/dc/terms/"/>
    <ds:schemaRef ds:uri="http://schemas.openxmlformats.org/package/2006/metadata/core-properties"/>
    <ds:schemaRef ds:uri="a720ecb3-be45-43c9-ad01-d7010e591473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1d74c442-9d4f-47a3-9357-501fd049fb12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FLUJO puro</vt:lpstr>
      <vt:lpstr>FLUJO 25%</vt:lpstr>
      <vt:lpstr>FLUJO 50%</vt:lpstr>
      <vt:lpstr>FLUJO 75%</vt:lpstr>
      <vt:lpstr>SENSIBILIZACIÓN 75%</vt:lpstr>
      <vt:lpstr>INGRESOS - EGRESOS</vt:lpstr>
      <vt:lpstr>ACTIVOS FIJOS</vt:lpstr>
      <vt:lpstr>DEPRECIACIÓN</vt:lpstr>
      <vt:lpstr>RESUMEN INDICADORES</vt:lpstr>
      <vt:lpstr>SENSIBILIZACIÓN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Elias Henriquez Henriquez (Alumno)</dc:creator>
  <cp:keywords/>
  <dc:description/>
  <cp:lastModifiedBy>Marisel Barraza Moyano</cp:lastModifiedBy>
  <cp:revision/>
  <dcterms:created xsi:type="dcterms:W3CDTF">2023-11-14T16:56:42Z</dcterms:created>
  <dcterms:modified xsi:type="dcterms:W3CDTF">2024-07-03T14:50:30Z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0x010100C8C3F868627F2348A75A99F7727B2383</vt:lpwstr>
  </property>
  <property fmtid="{D5CDD505-2E9C-101B-9397-08002B2CF9AE}" pid="3" name="MSIP_Label_23507802-f8e4-4e38-829c-ac8ea9b241e4_Enabled">
    <vt:lpwstr>true</vt:lpwstr>
  </property>
  <property fmtid="{D5CDD505-2E9C-101B-9397-08002B2CF9AE}" pid="4" name="MSIP_Label_23507802-f8e4-4e38-829c-ac8ea9b241e4_SetDate">
    <vt:lpwstr>2023-12-12T00:31:20Z</vt:lpwstr>
  </property>
  <property fmtid="{D5CDD505-2E9C-101B-9397-08002B2CF9AE}" pid="5" name="MSIP_Label_23507802-f8e4-4e38-829c-ac8ea9b241e4_Method">
    <vt:lpwstr>Privileged</vt:lpwstr>
  </property>
  <property fmtid="{D5CDD505-2E9C-101B-9397-08002B2CF9AE}" pid="6" name="MSIP_Label_23507802-f8e4-4e38-829c-ac8ea9b241e4_Name">
    <vt:lpwstr>Public v2</vt:lpwstr>
  </property>
  <property fmtid="{D5CDD505-2E9C-101B-9397-08002B2CF9AE}" pid="7" name="MSIP_Label_23507802-f8e4-4e38-829c-ac8ea9b241e4_SiteId">
    <vt:lpwstr>6e51e1ad-c54b-4b39-b598-0ffe9ae68fef</vt:lpwstr>
  </property>
  <property fmtid="{D5CDD505-2E9C-101B-9397-08002B2CF9AE}" pid="8" name="MSIP_Label_23507802-f8e4-4e38-829c-ac8ea9b241e4_ActionId">
    <vt:lpwstr>cf412599-652f-4a0d-8dd4-eb3a833a8814</vt:lpwstr>
  </property>
  <property fmtid="{D5CDD505-2E9C-101B-9397-08002B2CF9AE}" pid="9" name="MSIP_Label_23507802-f8e4-4e38-829c-ac8ea9b241e4_ContentBits">
    <vt:lpwstr>2</vt:lpwstr>
  </property>
</Properties>
</file>