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soporte\Desktop\ANEXOS TTS PDF\"/>
    </mc:Choice>
  </mc:AlternateContent>
  <bookViews>
    <workbookView xWindow="0" yWindow="0" windowWidth="15345" windowHeight="4575" firstSheet="1" activeTab="1"/>
  </bookViews>
  <sheets>
    <sheet name="Ingresos" sheetId="4" r:id="rId1"/>
    <sheet name="Inversiones" sheetId="2" r:id="rId2"/>
    <sheet name="depreciación" sheetId="8" r:id="rId3"/>
    <sheet name="gastos de personal" sheetId="5" r:id="rId4"/>
    <sheet name="cambio datos sensi" sheetId="20" r:id="rId5"/>
    <sheet name="capital de trabajo anual" sheetId="6" r:id="rId6"/>
    <sheet name="capital de trabajo meses" sheetId="19" r:id="rId7"/>
    <sheet name="flujo de caja 75%" sheetId="11" r:id="rId8"/>
    <sheet name="amortizacion 75%" sheetId="12" r:id="rId9"/>
    <sheet name="Flujo de Caja Puro" sheetId="3" r:id="rId10"/>
    <sheet name="amortización" sheetId="22" r:id="rId11"/>
    <sheet name="Flujo de caja 25%" sheetId="15" r:id="rId12"/>
    <sheet name="amortización 25%" sheetId="14" r:id="rId13"/>
    <sheet name="Flujo de caja 50%" sheetId="10" r:id="rId14"/>
    <sheet name="amortizacion 50%" sheetId="13" r:id="rId15"/>
    <sheet name="CAPM" sheetId="1" r:id="rId16"/>
    <sheet name="PNCP" sheetId="21" r:id="rId17"/>
    <sheet name="amortizacion 100%" sheetId="17" r:id="rId18"/>
    <sheet name="flujo de caja 100%" sheetId="18" r:id="rId1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7" i="20" l="1"/>
  <c r="C35" i="20"/>
  <c r="C34" i="20"/>
  <c r="C33" i="20"/>
  <c r="B67" i="14"/>
  <c r="B68" i="14" l="1"/>
  <c r="B70" i="14" s="1"/>
  <c r="C73" i="14" s="1"/>
  <c r="B73" i="14"/>
  <c r="D73" i="14" s="1"/>
  <c r="E73" i="14"/>
  <c r="F73" i="14" s="1"/>
  <c r="F3" i="20"/>
  <c r="E3" i="20"/>
  <c r="H24" i="5" l="1"/>
  <c r="G2" i="20"/>
  <c r="D36" i="5"/>
  <c r="G3" i="20" s="1"/>
  <c r="H3" i="20" s="1"/>
  <c r="I3" i="20" s="1"/>
  <c r="J3" i="20" s="1"/>
  <c r="K3" i="20" s="1"/>
  <c r="L3" i="20" s="1"/>
  <c r="M3" i="20" s="1"/>
  <c r="N3" i="20" s="1"/>
  <c r="O3" i="20" s="1"/>
  <c r="P3" i="20" s="1"/>
  <c r="Q3" i="20" s="1"/>
  <c r="R3" i="20" s="1"/>
  <c r="S3" i="20" s="1"/>
  <c r="T3" i="20" s="1"/>
  <c r="U3" i="20" s="1"/>
  <c r="V3" i="20" s="1"/>
  <c r="W3" i="20" s="1"/>
  <c r="X3" i="20" s="1"/>
  <c r="Y3" i="20" s="1"/>
  <c r="Z3" i="20" s="1"/>
  <c r="AA3" i="20" s="1"/>
  <c r="AB3" i="20" s="1"/>
  <c r="L9" i="1" l="1"/>
  <c r="K4" i="1"/>
  <c r="L5" i="1" s="1"/>
  <c r="L7" i="1" s="1"/>
  <c r="F51" i="20"/>
  <c r="F50" i="20"/>
  <c r="F49" i="20"/>
  <c r="F48" i="20"/>
  <c r="F47" i="20"/>
  <c r="F43" i="20"/>
  <c r="C41" i="20"/>
  <c r="F2" i="20" s="1"/>
  <c r="F39" i="20"/>
  <c r="F34" i="20"/>
  <c r="F33" i="20"/>
  <c r="F32" i="20"/>
  <c r="F31" i="20"/>
  <c r="F30" i="20"/>
  <c r="C20" i="20"/>
  <c r="C21" i="20" s="1"/>
  <c r="D3" i="20"/>
  <c r="D4" i="20" s="1"/>
  <c r="H2" i="20"/>
  <c r="D29" i="5"/>
  <c r="D28" i="5"/>
  <c r="C25" i="5"/>
  <c r="D24" i="5"/>
  <c r="E24" i="5" s="1"/>
  <c r="D23" i="5"/>
  <c r="E23" i="5" s="1"/>
  <c r="D22" i="5"/>
  <c r="E22" i="5" s="1"/>
  <c r="D21" i="5"/>
  <c r="E21" i="5" s="1"/>
  <c r="D20" i="5"/>
  <c r="E20" i="5" s="1"/>
  <c r="H19" i="5"/>
  <c r="D19" i="5"/>
  <c r="I18" i="5"/>
  <c r="I17" i="5"/>
  <c r="C16" i="5"/>
  <c r="B16" i="5"/>
  <c r="I16" i="5"/>
  <c r="I19" i="5" s="1"/>
  <c r="H26" i="5" s="1"/>
  <c r="D15" i="5"/>
  <c r="E15" i="5" s="1"/>
  <c r="D14" i="5"/>
  <c r="I11" i="5"/>
  <c r="B11" i="5"/>
  <c r="B29" i="5" s="1"/>
  <c r="H10" i="5"/>
  <c r="C10" i="5"/>
  <c r="D10" i="5" s="1"/>
  <c r="E10" i="5" s="1"/>
  <c r="I9" i="5"/>
  <c r="C9" i="5"/>
  <c r="D9" i="5" s="1"/>
  <c r="E9" i="5" s="1"/>
  <c r="I8" i="5"/>
  <c r="C8" i="5"/>
  <c r="I7" i="5"/>
  <c r="D7" i="5"/>
  <c r="I6" i="5"/>
  <c r="C4" i="5"/>
  <c r="D3" i="5"/>
  <c r="E3" i="5" s="1"/>
  <c r="D2" i="5"/>
  <c r="B23" i="2"/>
  <c r="C22" i="2"/>
  <c r="B13" i="8" s="1"/>
  <c r="C21" i="2"/>
  <c r="D17" i="2"/>
  <c r="E17" i="2" s="1"/>
  <c r="I16" i="2"/>
  <c r="D16" i="2"/>
  <c r="E16" i="2" s="1"/>
  <c r="B9" i="8" s="1"/>
  <c r="D14" i="2"/>
  <c r="E14" i="2" s="1"/>
  <c r="F14" i="2" s="1"/>
  <c r="B12" i="8" s="1"/>
  <c r="D12" i="8" s="1"/>
  <c r="E12" i="8" s="1"/>
  <c r="D13" i="2"/>
  <c r="E13" i="2" s="1"/>
  <c r="F13" i="2" s="1"/>
  <c r="B11" i="8" s="1"/>
  <c r="D12" i="2"/>
  <c r="E12" i="2" s="1"/>
  <c r="F12" i="2" s="1"/>
  <c r="B10" i="8" s="1"/>
  <c r="C11" i="2"/>
  <c r="I8" i="2"/>
  <c r="C7" i="2"/>
  <c r="D6" i="2"/>
  <c r="E6" i="2" s="1"/>
  <c r="B7" i="8" s="1"/>
  <c r="D5" i="2"/>
  <c r="E5" i="2" s="1"/>
  <c r="B6" i="8" s="1"/>
  <c r="D4" i="2"/>
  <c r="E4" i="2" s="1"/>
  <c r="B5" i="8" s="1"/>
  <c r="D3" i="2"/>
  <c r="E3" i="2" s="1"/>
  <c r="B4" i="8" s="1"/>
  <c r="D2" i="2"/>
  <c r="B10" i="4"/>
  <c r="B9" i="4"/>
  <c r="F2" i="4"/>
  <c r="B13" i="4" s="1"/>
  <c r="E2" i="4"/>
  <c r="B12" i="4" l="1"/>
  <c r="B14" i="4" s="1"/>
  <c r="G2" i="4"/>
  <c r="H2" i="4" s="1"/>
  <c r="D7" i="2"/>
  <c r="E2" i="2"/>
  <c r="D4" i="8"/>
  <c r="D5" i="8"/>
  <c r="D6" i="8"/>
  <c r="D7" i="8"/>
  <c r="J16" i="2"/>
  <c r="C15" i="2"/>
  <c r="D11" i="2"/>
  <c r="D10" i="8"/>
  <c r="D11" i="8"/>
  <c r="D9" i="8"/>
  <c r="AB17" i="10"/>
  <c r="AB17" i="15"/>
  <c r="AB17" i="3"/>
  <c r="AB17" i="20"/>
  <c r="AB17" i="2"/>
  <c r="AB17" i="11"/>
  <c r="C23" i="2"/>
  <c r="D13" i="8"/>
  <c r="D4" i="5"/>
  <c r="E2" i="5"/>
  <c r="E4" i="5" s="1"/>
  <c r="E7" i="5"/>
  <c r="C11" i="5"/>
  <c r="D8" i="5"/>
  <c r="H12" i="5"/>
  <c r="I10" i="5"/>
  <c r="I12" i="5" s="1"/>
  <c r="H25" i="5" s="1"/>
  <c r="I27" i="5" s="1"/>
  <c r="D16" i="5"/>
  <c r="E14" i="5"/>
  <c r="E16" i="5" s="1"/>
  <c r="D25" i="5"/>
  <c r="E19" i="5"/>
  <c r="E25" i="5" s="1"/>
  <c r="C36" i="5" s="1"/>
  <c r="C37" i="5" s="1"/>
  <c r="E29" i="5"/>
  <c r="F40" i="20"/>
  <c r="F42" i="20"/>
  <c r="F41" i="20"/>
  <c r="F12" i="8"/>
  <c r="H4" i="20"/>
  <c r="F4" i="20"/>
  <c r="E4" i="20"/>
  <c r="G4" i="20"/>
  <c r="I2" i="20"/>
  <c r="H12" i="8" l="1"/>
  <c r="C19" i="10"/>
  <c r="C19" i="15"/>
  <c r="C19" i="3"/>
  <c r="C19" i="11"/>
  <c r="C19" i="20"/>
  <c r="E8" i="5"/>
  <c r="D11" i="5"/>
  <c r="E11" i="5"/>
  <c r="C34" i="5"/>
  <c r="C33" i="5"/>
  <c r="E13" i="8"/>
  <c r="H13" i="8" s="1"/>
  <c r="E9" i="8"/>
  <c r="F9" i="8"/>
  <c r="E11" i="8"/>
  <c r="F11" i="8"/>
  <c r="E10" i="8"/>
  <c r="F10" i="8"/>
  <c r="D15" i="2"/>
  <c r="E11" i="2"/>
  <c r="E7" i="8"/>
  <c r="H7" i="8" s="1"/>
  <c r="E6" i="8"/>
  <c r="H6" i="8" s="1"/>
  <c r="E5" i="8"/>
  <c r="H5" i="8" s="1"/>
  <c r="E4" i="8"/>
  <c r="H4" i="8" s="1"/>
  <c r="B3" i="8"/>
  <c r="E7" i="2"/>
  <c r="G2" i="10"/>
  <c r="D2" i="19"/>
  <c r="H2" i="3"/>
  <c r="I2" i="3"/>
  <c r="J2" i="3"/>
  <c r="K2" i="3"/>
  <c r="L2" i="3"/>
  <c r="M2" i="3"/>
  <c r="N2" i="3"/>
  <c r="O2" i="3"/>
  <c r="P2" i="3"/>
  <c r="Q2" i="3"/>
  <c r="R2" i="3"/>
  <c r="S2" i="3"/>
  <c r="T2" i="3"/>
  <c r="U2" i="3"/>
  <c r="V2" i="3"/>
  <c r="W2" i="3"/>
  <c r="X2" i="3"/>
  <c r="Y2" i="3"/>
  <c r="Z2" i="3"/>
  <c r="AA2" i="3"/>
  <c r="G2" i="3"/>
  <c r="G2" i="11"/>
  <c r="AB2" i="10"/>
  <c r="AB2" i="15"/>
  <c r="AA2" i="10"/>
  <c r="Z2" i="10"/>
  <c r="Y2" i="10"/>
  <c r="X2" i="10"/>
  <c r="W2" i="10"/>
  <c r="V2" i="10"/>
  <c r="U2" i="10"/>
  <c r="T2" i="10"/>
  <c r="S2" i="10"/>
  <c r="R2" i="10"/>
  <c r="Q2" i="10"/>
  <c r="P2" i="10"/>
  <c r="O2" i="10"/>
  <c r="N2" i="10"/>
  <c r="M2" i="10"/>
  <c r="L2" i="10"/>
  <c r="K2" i="10"/>
  <c r="J2" i="10"/>
  <c r="I2" i="10"/>
  <c r="H2" i="10"/>
  <c r="AA2" i="15"/>
  <c r="Z2" i="15"/>
  <c r="Y2" i="15"/>
  <c r="X2" i="15"/>
  <c r="W2" i="15"/>
  <c r="V2" i="15"/>
  <c r="U2" i="15"/>
  <c r="T2" i="15"/>
  <c r="S2" i="15"/>
  <c r="R2" i="15"/>
  <c r="Q2" i="15"/>
  <c r="P2" i="15"/>
  <c r="O2" i="15"/>
  <c r="N2" i="15"/>
  <c r="M2" i="15"/>
  <c r="L2" i="15"/>
  <c r="K2" i="15"/>
  <c r="J2" i="15"/>
  <c r="I2" i="15"/>
  <c r="H2" i="15"/>
  <c r="G2" i="15"/>
  <c r="M2" i="19"/>
  <c r="L2" i="19"/>
  <c r="K2" i="19"/>
  <c r="J2" i="19"/>
  <c r="I2" i="19"/>
  <c r="H2" i="19"/>
  <c r="G2" i="19"/>
  <c r="F2" i="19"/>
  <c r="E2" i="19"/>
  <c r="E2" i="6"/>
  <c r="B15" i="4"/>
  <c r="I2" i="4"/>
  <c r="I4" i="20"/>
  <c r="J2" i="20"/>
  <c r="F2" i="10" l="1"/>
  <c r="F2" i="15"/>
  <c r="F2" i="3"/>
  <c r="F2" i="11"/>
  <c r="D2" i="6"/>
  <c r="F2" i="6"/>
  <c r="H2" i="11"/>
  <c r="AB2" i="3"/>
  <c r="O2" i="19"/>
  <c r="D3" i="8"/>
  <c r="E15" i="2"/>
  <c r="F11" i="2"/>
  <c r="H10" i="8"/>
  <c r="H11" i="8"/>
  <c r="H9" i="8"/>
  <c r="E3" i="3"/>
  <c r="E4" i="3" s="1"/>
  <c r="E3" i="11"/>
  <c r="C3" i="6"/>
  <c r="C4" i="6" s="1"/>
  <c r="E3" i="10"/>
  <c r="E4" i="10" s="1"/>
  <c r="E3" i="15"/>
  <c r="E4" i="15" s="1"/>
  <c r="C3" i="19"/>
  <c r="C4" i="19" s="1"/>
  <c r="AB3" i="19"/>
  <c r="D32" i="5"/>
  <c r="D33" i="5"/>
  <c r="F3" i="10"/>
  <c r="G3" i="10" s="1"/>
  <c r="H3" i="10" s="1"/>
  <c r="I3" i="10" s="1"/>
  <c r="J3" i="10" s="1"/>
  <c r="K3" i="10" s="1"/>
  <c r="L3" i="10" s="1"/>
  <c r="M3" i="10" s="1"/>
  <c r="N3" i="10" s="1"/>
  <c r="O3" i="10" s="1"/>
  <c r="P3" i="10" s="1"/>
  <c r="Q3" i="10" s="1"/>
  <c r="R3" i="10" s="1"/>
  <c r="S3" i="10" s="1"/>
  <c r="T3" i="10" s="1"/>
  <c r="U3" i="10" s="1"/>
  <c r="V3" i="10" s="1"/>
  <c r="W3" i="10" s="1"/>
  <c r="X3" i="10" s="1"/>
  <c r="Y3" i="10" s="1"/>
  <c r="Z3" i="10" s="1"/>
  <c r="AA3" i="10" s="1"/>
  <c r="AB3" i="10" s="1"/>
  <c r="D3" i="19"/>
  <c r="D3" i="6"/>
  <c r="E3" i="6" s="1"/>
  <c r="F3" i="15"/>
  <c r="G3" i="15" s="1"/>
  <c r="H3" i="15" s="1"/>
  <c r="I3" i="15" s="1"/>
  <c r="J3" i="15" s="1"/>
  <c r="K3" i="15" s="1"/>
  <c r="L3" i="15" s="1"/>
  <c r="M3" i="15" s="1"/>
  <c r="N3" i="15" s="1"/>
  <c r="O3" i="15" s="1"/>
  <c r="P3" i="15" s="1"/>
  <c r="Q3" i="15" s="1"/>
  <c r="R3" i="15" s="1"/>
  <c r="S3" i="15" s="1"/>
  <c r="T3" i="15" s="1"/>
  <c r="U3" i="15" s="1"/>
  <c r="V3" i="15" s="1"/>
  <c r="W3" i="15" s="1"/>
  <c r="X3" i="15" s="1"/>
  <c r="Y3" i="15" s="1"/>
  <c r="Z3" i="15" s="1"/>
  <c r="AA3" i="15" s="1"/>
  <c r="AB3" i="15" s="1"/>
  <c r="F3" i="3"/>
  <c r="G3" i="3" s="1"/>
  <c r="F3" i="11"/>
  <c r="G3" i="11" s="1"/>
  <c r="F4" i="15"/>
  <c r="F4" i="10"/>
  <c r="D4" i="19"/>
  <c r="E3" i="19"/>
  <c r="J4" i="20"/>
  <c r="K2" i="20"/>
  <c r="H3" i="11" l="1"/>
  <c r="I3" i="11" s="1"/>
  <c r="J3" i="11" s="1"/>
  <c r="K3" i="11" s="1"/>
  <c r="L3" i="11" s="1"/>
  <c r="M3" i="11" s="1"/>
  <c r="N3" i="11" s="1"/>
  <c r="O3" i="11" s="1"/>
  <c r="P3" i="11" s="1"/>
  <c r="Q3" i="11" s="1"/>
  <c r="R3" i="11" s="1"/>
  <c r="S3" i="11" s="1"/>
  <c r="T3" i="11" s="1"/>
  <c r="U3" i="11" s="1"/>
  <c r="V3" i="11" s="1"/>
  <c r="W3" i="11" s="1"/>
  <c r="X3" i="11" s="1"/>
  <c r="Y3" i="11" s="1"/>
  <c r="Z3" i="11" s="1"/>
  <c r="AA3" i="11" s="1"/>
  <c r="AB3" i="11" s="1"/>
  <c r="G4" i="11"/>
  <c r="H3" i="3"/>
  <c r="G4" i="3"/>
  <c r="F3" i="6"/>
  <c r="G3" i="6" s="1"/>
  <c r="H3" i="6" s="1"/>
  <c r="I3" i="6" s="1"/>
  <c r="J3" i="6" s="1"/>
  <c r="K3" i="6" s="1"/>
  <c r="L3" i="6" s="1"/>
  <c r="M3" i="6" s="1"/>
  <c r="N3" i="6" s="1"/>
  <c r="O3" i="6" s="1"/>
  <c r="P3" i="6" s="1"/>
  <c r="Q3" i="6" s="1"/>
  <c r="R3" i="6" s="1"/>
  <c r="S3" i="6" s="1"/>
  <c r="T3" i="6" s="1"/>
  <c r="U3" i="6" s="1"/>
  <c r="V3" i="6" s="1"/>
  <c r="W3" i="6" s="1"/>
  <c r="X3" i="6" s="1"/>
  <c r="Y3" i="6" s="1"/>
  <c r="Z3" i="6" s="1"/>
  <c r="E4" i="6"/>
  <c r="E4" i="11"/>
  <c r="C34" i="11"/>
  <c r="B8" i="8"/>
  <c r="F15" i="2"/>
  <c r="C18" i="2" s="1"/>
  <c r="B27" i="2" s="1"/>
  <c r="E3" i="8"/>
  <c r="I2" i="11"/>
  <c r="H4" i="11"/>
  <c r="G2" i="6"/>
  <c r="F4" i="6"/>
  <c r="D4" i="6"/>
  <c r="F4" i="11"/>
  <c r="F4" i="3"/>
  <c r="G4" i="10"/>
  <c r="G4" i="15"/>
  <c r="E4" i="19"/>
  <c r="F3" i="19"/>
  <c r="K4" i="20"/>
  <c r="L2" i="20"/>
  <c r="H2" i="6" l="1"/>
  <c r="G4" i="6"/>
  <c r="J2" i="11"/>
  <c r="I4" i="11"/>
  <c r="H3" i="8"/>
  <c r="C20" i="15"/>
  <c r="C21" i="15" s="1"/>
  <c r="C20" i="10"/>
  <c r="C21" i="10" s="1"/>
  <c r="C20" i="11"/>
  <c r="C20" i="3"/>
  <c r="C21" i="3" s="1"/>
  <c r="D8" i="8"/>
  <c r="B14" i="8"/>
  <c r="I3" i="3"/>
  <c r="H4" i="3"/>
  <c r="H4" i="15"/>
  <c r="H4" i="10"/>
  <c r="G3" i="19"/>
  <c r="F4" i="19"/>
  <c r="L4" i="20"/>
  <c r="M2" i="20"/>
  <c r="J3" i="3" l="1"/>
  <c r="I4" i="3"/>
  <c r="E8" i="8"/>
  <c r="D14" i="8"/>
  <c r="F8" i="8"/>
  <c r="F14" i="8" s="1"/>
  <c r="C36" i="11"/>
  <c r="C21" i="11"/>
  <c r="K2" i="11"/>
  <c r="J4" i="11"/>
  <c r="I2" i="6"/>
  <c r="H4" i="6"/>
  <c r="I4" i="10"/>
  <c r="I4" i="15"/>
  <c r="G4" i="19"/>
  <c r="H3" i="19"/>
  <c r="N2" i="20"/>
  <c r="M4" i="20"/>
  <c r="J2" i="6" l="1"/>
  <c r="I4" i="6"/>
  <c r="L2" i="11"/>
  <c r="K4" i="11"/>
  <c r="F7" i="11"/>
  <c r="F14" i="11" s="1"/>
  <c r="F7" i="15"/>
  <c r="F14" i="15" s="1"/>
  <c r="F7" i="3"/>
  <c r="F14" i="3" s="1"/>
  <c r="F7" i="10"/>
  <c r="F14" i="10" s="1"/>
  <c r="F7" i="20"/>
  <c r="F14" i="20" s="1"/>
  <c r="D7" i="10"/>
  <c r="D14" i="10" s="1"/>
  <c r="D7" i="3"/>
  <c r="D14" i="3" s="1"/>
  <c r="D7" i="15"/>
  <c r="D14" i="15" s="1"/>
  <c r="D7" i="11"/>
  <c r="D14" i="11" s="1"/>
  <c r="D7" i="20"/>
  <c r="D14" i="20" s="1"/>
  <c r="E14" i="8"/>
  <c r="H8" i="8"/>
  <c r="K3" i="3"/>
  <c r="J4" i="3"/>
  <c r="J4" i="15"/>
  <c r="J4" i="10"/>
  <c r="H4" i="19"/>
  <c r="I3" i="19"/>
  <c r="N4" i="20"/>
  <c r="O2" i="20"/>
  <c r="L3" i="3" l="1"/>
  <c r="K4" i="3"/>
  <c r="E7" i="20"/>
  <c r="E14" i="20" s="1"/>
  <c r="E7" i="11"/>
  <c r="E14" i="11" s="1"/>
  <c r="E7" i="15"/>
  <c r="E14" i="15" s="1"/>
  <c r="E7" i="3"/>
  <c r="E14" i="3" s="1"/>
  <c r="E7" i="10"/>
  <c r="E14" i="10" s="1"/>
  <c r="H14" i="8"/>
  <c r="M2" i="11"/>
  <c r="L4" i="11"/>
  <c r="K2" i="6"/>
  <c r="J4" i="6"/>
  <c r="I4" i="19"/>
  <c r="J3" i="19"/>
  <c r="K4" i="15"/>
  <c r="K4" i="10"/>
  <c r="O4" i="20"/>
  <c r="P2" i="20"/>
  <c r="L2" i="6" l="1"/>
  <c r="K4" i="6"/>
  <c r="N2" i="11"/>
  <c r="M4" i="11"/>
  <c r="M3" i="3"/>
  <c r="L4" i="3"/>
  <c r="L4" i="10"/>
  <c r="K3" i="19"/>
  <c r="J4" i="19"/>
  <c r="L4" i="15"/>
  <c r="P4" i="20"/>
  <c r="Q2" i="20"/>
  <c r="N3" i="3" l="1"/>
  <c r="M4" i="3"/>
  <c r="O2" i="11"/>
  <c r="N4" i="11"/>
  <c r="M2" i="6"/>
  <c r="L4" i="6"/>
  <c r="K4" i="19"/>
  <c r="L3" i="19"/>
  <c r="M4" i="15"/>
  <c r="M4" i="10"/>
  <c r="Q4" i="20"/>
  <c r="R2" i="20"/>
  <c r="N2" i="6" l="1"/>
  <c r="M4" i="6"/>
  <c r="P2" i="11"/>
  <c r="O4" i="11"/>
  <c r="O3" i="3"/>
  <c r="N4" i="3"/>
  <c r="N4" i="15"/>
  <c r="N4" i="10"/>
  <c r="L4" i="19"/>
  <c r="M3" i="19"/>
  <c r="R4" i="20"/>
  <c r="S2" i="20"/>
  <c r="P3" i="3" l="1"/>
  <c r="O4" i="3"/>
  <c r="Q2" i="11"/>
  <c r="P4" i="11"/>
  <c r="O2" i="6"/>
  <c r="N4" i="6"/>
  <c r="M4" i="19"/>
  <c r="O4" i="10"/>
  <c r="O4" i="15"/>
  <c r="S4" i="20"/>
  <c r="T2" i="20"/>
  <c r="P2" i="6" l="1"/>
  <c r="O4" i="6"/>
  <c r="R2" i="11"/>
  <c r="Q4" i="11"/>
  <c r="Q3" i="3"/>
  <c r="P4" i="3"/>
  <c r="P4" i="15"/>
  <c r="P4" i="10"/>
  <c r="T4" i="20"/>
  <c r="U2" i="20"/>
  <c r="R3" i="3" l="1"/>
  <c r="Q4" i="3"/>
  <c r="S2" i="11"/>
  <c r="R4" i="11"/>
  <c r="Q2" i="6"/>
  <c r="P4" i="6"/>
  <c r="Q4" i="15"/>
  <c r="Q4" i="10"/>
  <c r="U4" i="20"/>
  <c r="V2" i="20"/>
  <c r="R2" i="6" l="1"/>
  <c r="Q4" i="6"/>
  <c r="T2" i="11"/>
  <c r="S4" i="11"/>
  <c r="S3" i="3"/>
  <c r="R4" i="3"/>
  <c r="R4" i="10"/>
  <c r="R4" i="15"/>
  <c r="V4" i="20"/>
  <c r="W2" i="20"/>
  <c r="T3" i="3" l="1"/>
  <c r="S4" i="3"/>
  <c r="U2" i="11"/>
  <c r="T4" i="11"/>
  <c r="S2" i="6"/>
  <c r="R4" i="6"/>
  <c r="S4" i="10"/>
  <c r="S4" i="15"/>
  <c r="W4" i="20"/>
  <c r="X2" i="20"/>
  <c r="T2" i="6" l="1"/>
  <c r="S4" i="6"/>
  <c r="V2" i="11"/>
  <c r="U4" i="11"/>
  <c r="U3" i="3"/>
  <c r="T4" i="3"/>
  <c r="T4" i="10"/>
  <c r="T4" i="15"/>
  <c r="X4" i="20"/>
  <c r="Y2" i="20"/>
  <c r="V3" i="3" l="1"/>
  <c r="U4" i="3"/>
  <c r="W2" i="11"/>
  <c r="V4" i="11"/>
  <c r="U2" i="6"/>
  <c r="T4" i="6"/>
  <c r="U4" i="15"/>
  <c r="U4" i="10"/>
  <c r="Z2" i="20"/>
  <c r="Y4" i="20"/>
  <c r="V2" i="6" l="1"/>
  <c r="U4" i="6"/>
  <c r="X2" i="11"/>
  <c r="W4" i="11"/>
  <c r="W3" i="3"/>
  <c r="V4" i="3"/>
  <c r="V4" i="15"/>
  <c r="V4" i="10"/>
  <c r="Z4" i="20"/>
  <c r="AA2" i="20"/>
  <c r="X3" i="3" l="1"/>
  <c r="W4" i="3"/>
  <c r="Y2" i="11"/>
  <c r="X4" i="11"/>
  <c r="W2" i="6"/>
  <c r="V4" i="6"/>
  <c r="W4" i="15"/>
  <c r="W4" i="10"/>
  <c r="AB2" i="20"/>
  <c r="AB4" i="20" s="1"/>
  <c r="AA4" i="20"/>
  <c r="X2" i="6" l="1"/>
  <c r="W4" i="6"/>
  <c r="Z2" i="11"/>
  <c r="Y4" i="11"/>
  <c r="Y3" i="3"/>
  <c r="X4" i="3"/>
  <c r="X4" i="10"/>
  <c r="X4" i="15"/>
  <c r="Z3" i="3" l="1"/>
  <c r="Y4" i="3"/>
  <c r="AA2" i="11"/>
  <c r="Z4" i="11"/>
  <c r="Y2" i="6"/>
  <c r="X4" i="6"/>
  <c r="Y4" i="10"/>
  <c r="Y4" i="15"/>
  <c r="Z2" i="6" l="1"/>
  <c r="Z4" i="6" s="1"/>
  <c r="Y4" i="6"/>
  <c r="AB2" i="11"/>
  <c r="AB4" i="11" s="1"/>
  <c r="AA4" i="11"/>
  <c r="AA3" i="3"/>
  <c r="Z4" i="3"/>
  <c r="Z4" i="10"/>
  <c r="Z4" i="15"/>
  <c r="AB3" i="3" l="1"/>
  <c r="AB4" i="3" s="1"/>
  <c r="AA4" i="3"/>
  <c r="AA4" i="15"/>
  <c r="AB4" i="15"/>
  <c r="AA4" i="10"/>
  <c r="AB4" i="10"/>
  <c r="B4" i="5"/>
  <c r="B28" i="5"/>
  <c r="E28" i="5" s="1"/>
  <c r="E30" i="5" l="1"/>
  <c r="C32" i="5"/>
  <c r="B3" i="19" s="1"/>
  <c r="B4" i="19" l="1"/>
  <c r="B5" i="19" s="1"/>
  <c r="C5" i="19" s="1"/>
  <c r="D5" i="19" s="1"/>
  <c r="E5" i="19" s="1"/>
  <c r="F5" i="19" s="1"/>
  <c r="G5" i="19" s="1"/>
  <c r="H5" i="19" s="1"/>
  <c r="I5" i="19" s="1"/>
  <c r="J5" i="19" s="1"/>
  <c r="K5" i="19" s="1"/>
  <c r="L5" i="19" s="1"/>
  <c r="M5" i="19" s="1"/>
  <c r="O3" i="19"/>
  <c r="D3" i="11"/>
  <c r="D3" i="10"/>
  <c r="D4" i="10" s="1"/>
  <c r="D3" i="15"/>
  <c r="D4" i="15" s="1"/>
  <c r="D3" i="3"/>
  <c r="D4" i="3" s="1"/>
  <c r="D10" i="3" s="1"/>
  <c r="B3" i="6"/>
  <c r="B4" i="6" s="1"/>
  <c r="B5" i="6" s="1"/>
  <c r="C5" i="6" s="1"/>
  <c r="D11" i="3" l="1"/>
  <c r="D12" i="3"/>
  <c r="D22" i="3" s="1"/>
  <c r="E9" i="3"/>
  <c r="D5" i="6"/>
  <c r="E5" i="6" s="1"/>
  <c r="F5" i="6" s="1"/>
  <c r="G5" i="6" s="1"/>
  <c r="H5" i="6" s="1"/>
  <c r="I5" i="6" s="1"/>
  <c r="J5" i="6" s="1"/>
  <c r="K5" i="6" s="1"/>
  <c r="L5" i="6" s="1"/>
  <c r="M5" i="6" s="1"/>
  <c r="N5" i="6" s="1"/>
  <c r="O5" i="6" s="1"/>
  <c r="P5" i="6" s="1"/>
  <c r="Q5" i="6" s="1"/>
  <c r="R5" i="6" s="1"/>
  <c r="S5" i="6" s="1"/>
  <c r="T5" i="6" s="1"/>
  <c r="U5" i="6" s="1"/>
  <c r="V5" i="6" s="1"/>
  <c r="W5" i="6" s="1"/>
  <c r="X5" i="6" s="1"/>
  <c r="Y5" i="6" s="1"/>
  <c r="Z5" i="6" s="1"/>
  <c r="C8" i="19"/>
  <c r="C33" i="11"/>
  <c r="D4" i="11"/>
  <c r="D24" i="3" l="1"/>
  <c r="C18" i="20"/>
  <c r="C18" i="15"/>
  <c r="C18" i="3"/>
  <c r="C18" i="10"/>
  <c r="C18" i="11"/>
  <c r="E13" i="3"/>
  <c r="D25" i="3" l="1"/>
  <c r="D26" i="3" s="1"/>
  <c r="B1" i="22"/>
  <c r="AB18" i="11"/>
  <c r="C22" i="11"/>
  <c r="AB18" i="10"/>
  <c r="C22" i="10"/>
  <c r="AB18" i="20"/>
  <c r="C22" i="20"/>
  <c r="C23" i="20" s="1"/>
  <c r="AB18" i="3"/>
  <c r="C22" i="3"/>
  <c r="C22" i="15"/>
  <c r="AB18" i="15"/>
  <c r="B7" i="22" l="1"/>
  <c r="B2" i="22"/>
  <c r="C23" i="15"/>
  <c r="C23" i="10"/>
  <c r="B1" i="13" s="1"/>
  <c r="B2" i="13" s="1"/>
  <c r="C25" i="3"/>
  <c r="L2" i="2"/>
  <c r="K2" i="2" s="1"/>
  <c r="J2" i="2" s="1"/>
  <c r="C25" i="20"/>
  <c r="C23" i="11"/>
  <c r="B1" i="12" s="1"/>
  <c r="B2" i="12" s="1"/>
  <c r="C25" i="15" l="1"/>
  <c r="B1" i="14"/>
  <c r="B2" i="14" s="1"/>
  <c r="B4" i="22"/>
  <c r="C7" i="22" s="1"/>
  <c r="I3" i="22"/>
  <c r="D7" i="22"/>
  <c r="C25" i="10"/>
  <c r="C26" i="10" s="1"/>
  <c r="C26" i="15"/>
  <c r="C27" i="15"/>
  <c r="B4" i="14"/>
  <c r="B7" i="14"/>
  <c r="B4" i="12"/>
  <c r="B7" i="12"/>
  <c r="C26" i="20"/>
  <c r="C27" i="20"/>
  <c r="C27" i="3"/>
  <c r="D27" i="3" s="1"/>
  <c r="C26" i="3"/>
  <c r="C25" i="11"/>
  <c r="B4" i="13"/>
  <c r="B7" i="13"/>
  <c r="E7" i="22" l="1"/>
  <c r="J3" i="22"/>
  <c r="E6" i="3"/>
  <c r="E10" i="3" s="1"/>
  <c r="C27" i="10"/>
  <c r="C10" i="14"/>
  <c r="C7" i="14"/>
  <c r="C11" i="14"/>
  <c r="C8" i="14"/>
  <c r="C9" i="14"/>
  <c r="D7" i="14"/>
  <c r="C11" i="13"/>
  <c r="C8" i="13"/>
  <c r="C10" i="13"/>
  <c r="C9" i="13"/>
  <c r="C7" i="13"/>
  <c r="D7" i="12"/>
  <c r="D7" i="13"/>
  <c r="D5" i="10" s="1"/>
  <c r="D10" i="10" s="1"/>
  <c r="C27" i="11"/>
  <c r="C26" i="11"/>
  <c r="C8" i="12"/>
  <c r="C9" i="12"/>
  <c r="C7" i="12"/>
  <c r="C10" i="12"/>
  <c r="C11" i="12"/>
  <c r="E11" i="3" l="1"/>
  <c r="E12" i="3" s="1"/>
  <c r="F9" i="3"/>
  <c r="F13" i="3" s="1"/>
  <c r="F7" i="22"/>
  <c r="K3" i="22"/>
  <c r="E16" i="3"/>
  <c r="D5" i="15"/>
  <c r="D10" i="15" s="1"/>
  <c r="E7" i="14"/>
  <c r="E7" i="12"/>
  <c r="D15" i="11" s="1"/>
  <c r="E7" i="13"/>
  <c r="E9" i="10"/>
  <c r="E13" i="10" s="1"/>
  <c r="D11" i="10"/>
  <c r="D12" i="10" s="1"/>
  <c r="D5" i="11"/>
  <c r="D10" i="11" s="1"/>
  <c r="D5" i="20"/>
  <c r="D10" i="20" s="1"/>
  <c r="E22" i="3" l="1"/>
  <c r="D11" i="15"/>
  <c r="D12" i="15" s="1"/>
  <c r="E9" i="15"/>
  <c r="E13" i="15" s="1"/>
  <c r="D15" i="20"/>
  <c r="B8" i="12"/>
  <c r="D8" i="12" s="1"/>
  <c r="E5" i="11" s="1"/>
  <c r="F7" i="12"/>
  <c r="D15" i="15"/>
  <c r="B8" i="14"/>
  <c r="D8" i="14" s="1"/>
  <c r="E5" i="15" s="1"/>
  <c r="F7" i="14"/>
  <c r="E5" i="20"/>
  <c r="D15" i="10"/>
  <c r="D22" i="10" s="1"/>
  <c r="F7" i="13"/>
  <c r="B8" i="13"/>
  <c r="D11" i="20"/>
  <c r="D12" i="20" s="1"/>
  <c r="D22" i="20" s="1"/>
  <c r="E9" i="20"/>
  <c r="E13" i="20" s="1"/>
  <c r="E8" i="12"/>
  <c r="E9" i="11"/>
  <c r="E13" i="11" s="1"/>
  <c r="D11" i="11"/>
  <c r="D12" i="11" s="1"/>
  <c r="D22" i="11" s="1"/>
  <c r="E24" i="3" l="1"/>
  <c r="B10" i="22" s="1"/>
  <c r="E25" i="3"/>
  <c r="E26" i="3" s="1"/>
  <c r="E27" i="3" s="1"/>
  <c r="D22" i="15"/>
  <c r="D24" i="15" s="1"/>
  <c r="E8" i="14"/>
  <c r="B9" i="14" s="1"/>
  <c r="D24" i="11"/>
  <c r="B14" i="12" s="1"/>
  <c r="B15" i="12" s="1"/>
  <c r="I2" i="12" s="1"/>
  <c r="D24" i="10"/>
  <c r="B17" i="13" s="1"/>
  <c r="B18" i="13" s="1"/>
  <c r="I7" i="13" s="1"/>
  <c r="D24" i="20"/>
  <c r="D25" i="20" s="1"/>
  <c r="D8" i="13"/>
  <c r="E15" i="20"/>
  <c r="E15" i="11"/>
  <c r="F8" i="12"/>
  <c r="B9" i="12"/>
  <c r="F8" i="14"/>
  <c r="B16" i="22" l="1"/>
  <c r="B11" i="22"/>
  <c r="D25" i="15"/>
  <c r="D26" i="15" s="1"/>
  <c r="D27" i="15" s="1"/>
  <c r="B13" i="14"/>
  <c r="E15" i="15"/>
  <c r="D25" i="10"/>
  <c r="D25" i="11"/>
  <c r="D26" i="11" s="1"/>
  <c r="D27" i="11" s="1"/>
  <c r="D26" i="20"/>
  <c r="D27" i="20" s="1"/>
  <c r="D9" i="12"/>
  <c r="E5" i="10"/>
  <c r="E8" i="13"/>
  <c r="B23" i="13"/>
  <c r="B20" i="13"/>
  <c r="C23" i="13" s="1"/>
  <c r="D9" i="14"/>
  <c r="B20" i="12"/>
  <c r="B17" i="12"/>
  <c r="C20" i="12" s="1"/>
  <c r="B13" i="22" l="1"/>
  <c r="C16" i="22" s="1"/>
  <c r="I4" i="22"/>
  <c r="D16" i="22"/>
  <c r="B14" i="14"/>
  <c r="B19" i="14"/>
  <c r="D26" i="10"/>
  <c r="D27" i="10" s="1"/>
  <c r="D20" i="12"/>
  <c r="J2" i="12" s="1"/>
  <c r="F5" i="20"/>
  <c r="F5" i="11"/>
  <c r="E9" i="12"/>
  <c r="D23" i="13"/>
  <c r="F5" i="15"/>
  <c r="E9" i="14"/>
  <c r="E15" i="10"/>
  <c r="B9" i="13"/>
  <c r="F8" i="13"/>
  <c r="E6" i="10" l="1"/>
  <c r="E10" i="10" s="1"/>
  <c r="J7" i="13"/>
  <c r="B16" i="14"/>
  <c r="C19" i="14" s="1"/>
  <c r="I6" i="14"/>
  <c r="J4" i="22"/>
  <c r="F6" i="3"/>
  <c r="F10" i="3" s="1"/>
  <c r="E16" i="22"/>
  <c r="D19" i="14"/>
  <c r="J6" i="14" s="1"/>
  <c r="F9" i="10"/>
  <c r="F13" i="10" s="1"/>
  <c r="E11" i="10"/>
  <c r="E12" i="10" s="1"/>
  <c r="F15" i="15"/>
  <c r="B10" i="14"/>
  <c r="F9" i="14"/>
  <c r="E6" i="11"/>
  <c r="E10" i="11" s="1"/>
  <c r="E6" i="20"/>
  <c r="E10" i="20" s="1"/>
  <c r="D9" i="13"/>
  <c r="F15" i="11"/>
  <c r="F15" i="20"/>
  <c r="F9" i="12"/>
  <c r="B10" i="12"/>
  <c r="E20" i="12"/>
  <c r="K2" i="12" s="1"/>
  <c r="E23" i="13"/>
  <c r="K7" i="13" s="1"/>
  <c r="F16" i="22" l="1"/>
  <c r="K4" i="22"/>
  <c r="F16" i="3"/>
  <c r="F11" i="3"/>
  <c r="F12" i="3" s="1"/>
  <c r="F22" i="3" s="1"/>
  <c r="F24" i="3" s="1"/>
  <c r="G9" i="3"/>
  <c r="G13" i="3" s="1"/>
  <c r="E19" i="14"/>
  <c r="K6" i="14" s="1"/>
  <c r="E6" i="15"/>
  <c r="E10" i="15" s="1"/>
  <c r="D10" i="12"/>
  <c r="E11" i="11"/>
  <c r="E12" i="11" s="1"/>
  <c r="F9" i="11"/>
  <c r="F13" i="11" s="1"/>
  <c r="F5" i="10"/>
  <c r="E9" i="13"/>
  <c r="E16" i="10"/>
  <c r="E22" i="10" s="1"/>
  <c r="F23" i="13"/>
  <c r="E16" i="11"/>
  <c r="E16" i="20"/>
  <c r="F20" i="12"/>
  <c r="D10" i="14"/>
  <c r="F9" i="20"/>
  <c r="F13" i="20" s="1"/>
  <c r="E11" i="20"/>
  <c r="E12" i="20" s="1"/>
  <c r="E22" i="20" s="1"/>
  <c r="F25" i="3" l="1"/>
  <c r="F26" i="3" s="1"/>
  <c r="F27" i="3" s="1"/>
  <c r="B19" i="22"/>
  <c r="E16" i="15"/>
  <c r="F19" i="14"/>
  <c r="E11" i="15"/>
  <c r="E12" i="15" s="1"/>
  <c r="F9" i="15"/>
  <c r="F13" i="15" s="1"/>
  <c r="E22" i="11"/>
  <c r="E24" i="11" s="1"/>
  <c r="B23" i="12" s="1"/>
  <c r="B24" i="12" s="1"/>
  <c r="I3" i="12" s="1"/>
  <c r="E24" i="10"/>
  <c r="B26" i="13" s="1"/>
  <c r="B27" i="13" s="1"/>
  <c r="I8" i="13" s="1"/>
  <c r="E24" i="20"/>
  <c r="E25" i="20" s="1"/>
  <c r="G5" i="15"/>
  <c r="E10" i="14"/>
  <c r="F15" i="10"/>
  <c r="F9" i="13"/>
  <c r="B10" i="13"/>
  <c r="G5" i="11"/>
  <c r="G5" i="20"/>
  <c r="E10" i="12"/>
  <c r="B20" i="22" l="1"/>
  <c r="B25" i="22"/>
  <c r="D25" i="22" s="1"/>
  <c r="E22" i="15"/>
  <c r="E24" i="15"/>
  <c r="B22" i="14" s="1"/>
  <c r="E25" i="11"/>
  <c r="G15" i="15"/>
  <c r="F10" i="14"/>
  <c r="B11" i="14"/>
  <c r="E26" i="11"/>
  <c r="E27" i="11" s="1"/>
  <c r="B26" i="12"/>
  <c r="C29" i="12" s="1"/>
  <c r="B29" i="12"/>
  <c r="G15" i="11"/>
  <c r="G15" i="20"/>
  <c r="F10" i="12"/>
  <c r="B11" i="12"/>
  <c r="E26" i="20"/>
  <c r="E27" i="20" s="1"/>
  <c r="B29" i="13"/>
  <c r="C32" i="13" s="1"/>
  <c r="B32" i="13"/>
  <c r="D10" i="13"/>
  <c r="E25" i="10"/>
  <c r="J5" i="22" l="1"/>
  <c r="G6" i="3"/>
  <c r="G10" i="3" s="1"/>
  <c r="B22" i="22"/>
  <c r="C25" i="22" s="1"/>
  <c r="E25" i="22" s="1"/>
  <c r="I5" i="22"/>
  <c r="B23" i="14"/>
  <c r="B28" i="14"/>
  <c r="E25" i="15"/>
  <c r="E26" i="15" s="1"/>
  <c r="E27" i="15" s="1"/>
  <c r="E26" i="10"/>
  <c r="E27" i="10" s="1"/>
  <c r="D32" i="13"/>
  <c r="D11" i="14"/>
  <c r="G5" i="10"/>
  <c r="E10" i="13"/>
  <c r="D11" i="12"/>
  <c r="D29" i="12"/>
  <c r="E29" i="12" l="1"/>
  <c r="K3" i="12" s="1"/>
  <c r="J3" i="12"/>
  <c r="F6" i="10"/>
  <c r="F10" i="10" s="1"/>
  <c r="J8" i="13"/>
  <c r="B25" i="14"/>
  <c r="C28" i="14" s="1"/>
  <c r="I7" i="14"/>
  <c r="F25" i="22"/>
  <c r="K5" i="22"/>
  <c r="G16" i="3"/>
  <c r="G11" i="3"/>
  <c r="G12" i="3" s="1"/>
  <c r="G22" i="3" s="1"/>
  <c r="G24" i="3" s="1"/>
  <c r="G25" i="3" s="1"/>
  <c r="G26" i="3" s="1"/>
  <c r="G27" i="3" s="1"/>
  <c r="H9" i="3"/>
  <c r="D28" i="14"/>
  <c r="F16" i="11"/>
  <c r="F16" i="20"/>
  <c r="F29" i="12"/>
  <c r="F11" i="10"/>
  <c r="F12" i="10" s="1"/>
  <c r="G9" i="10"/>
  <c r="G13" i="10" s="1"/>
  <c r="H5" i="15"/>
  <c r="E11" i="14"/>
  <c r="H5" i="20"/>
  <c r="H5" i="11"/>
  <c r="E11" i="12"/>
  <c r="F6" i="20"/>
  <c r="F10" i="20" s="1"/>
  <c r="F6" i="11"/>
  <c r="F10" i="11" s="1"/>
  <c r="E32" i="13"/>
  <c r="K8" i="13" s="1"/>
  <c r="G15" i="10"/>
  <c r="B11" i="13"/>
  <c r="F10" i="13"/>
  <c r="F6" i="15" l="1"/>
  <c r="F10" i="15" s="1"/>
  <c r="J7" i="14"/>
  <c r="H13" i="3"/>
  <c r="H10" i="3"/>
  <c r="E28" i="14"/>
  <c r="F16" i="15"/>
  <c r="G9" i="15"/>
  <c r="F11" i="15"/>
  <c r="F12" i="15" s="1"/>
  <c r="F22" i="15" s="1"/>
  <c r="F24" i="15" s="1"/>
  <c r="G9" i="20"/>
  <c r="G13" i="20" s="1"/>
  <c r="F11" i="20"/>
  <c r="F12" i="20" s="1"/>
  <c r="F22" i="20" s="1"/>
  <c r="F16" i="10"/>
  <c r="F22" i="10" s="1"/>
  <c r="F32" i="13"/>
  <c r="H15" i="11"/>
  <c r="H15" i="20"/>
  <c r="F11" i="12"/>
  <c r="D11" i="13"/>
  <c r="F11" i="11"/>
  <c r="F12" i="11" s="1"/>
  <c r="F22" i="11" s="1"/>
  <c r="G9" i="11"/>
  <c r="G13" i="11" s="1"/>
  <c r="H15" i="15"/>
  <c r="F11" i="14"/>
  <c r="F28" i="14" l="1"/>
  <c r="K7" i="14"/>
  <c r="I9" i="3"/>
  <c r="H11" i="3"/>
  <c r="H12" i="3" s="1"/>
  <c r="H22" i="3" s="1"/>
  <c r="H24" i="3" s="1"/>
  <c r="H25" i="3" s="1"/>
  <c r="H26" i="3" s="1"/>
  <c r="H27" i="3" s="1"/>
  <c r="F25" i="15"/>
  <c r="F26" i="15" s="1"/>
  <c r="F27" i="15" s="1"/>
  <c r="B31" i="14"/>
  <c r="G13" i="15"/>
  <c r="F24" i="10"/>
  <c r="B35" i="13" s="1"/>
  <c r="B36" i="13" s="1"/>
  <c r="I9" i="13" s="1"/>
  <c r="F24" i="11"/>
  <c r="B32" i="12" s="1"/>
  <c r="B33" i="12" s="1"/>
  <c r="I4" i="12" s="1"/>
  <c r="F24" i="20"/>
  <c r="F25" i="20" s="1"/>
  <c r="H5" i="10"/>
  <c r="E11" i="13"/>
  <c r="I13" i="3" l="1"/>
  <c r="I10" i="3"/>
  <c r="B37" i="14"/>
  <c r="B32" i="14"/>
  <c r="I8" i="14" s="1"/>
  <c r="F25" i="10"/>
  <c r="H15" i="10"/>
  <c r="E13" i="13"/>
  <c r="F11" i="13"/>
  <c r="B38" i="12"/>
  <c r="B35" i="12"/>
  <c r="C38" i="12" s="1"/>
  <c r="F26" i="20"/>
  <c r="F27" i="20" s="1"/>
  <c r="F25" i="11"/>
  <c r="B41" i="13"/>
  <c r="B38" i="13"/>
  <c r="C41" i="13" s="1"/>
  <c r="J9" i="3" l="1"/>
  <c r="I11" i="3"/>
  <c r="I12" i="3" s="1"/>
  <c r="I22" i="3" s="1"/>
  <c r="I24" i="3" s="1"/>
  <c r="I25" i="3" s="1"/>
  <c r="I26" i="3" s="1"/>
  <c r="I27" i="3" s="1"/>
  <c r="D37" i="14"/>
  <c r="B34" i="14"/>
  <c r="C37" i="14" s="1"/>
  <c r="E37" i="14" s="1"/>
  <c r="K8" i="14" s="1"/>
  <c r="F26" i="10"/>
  <c r="F27" i="10" s="1"/>
  <c r="D38" i="12"/>
  <c r="D41" i="13"/>
  <c r="F26" i="11"/>
  <c r="F27" i="11" s="1"/>
  <c r="G6" i="10" l="1"/>
  <c r="G10" i="10" s="1"/>
  <c r="J9" i="13"/>
  <c r="E38" i="12"/>
  <c r="J4" i="12"/>
  <c r="G6" i="15"/>
  <c r="G10" i="15" s="1"/>
  <c r="J8" i="14"/>
  <c r="J13" i="3"/>
  <c r="J10" i="3"/>
  <c r="F37" i="14"/>
  <c r="G16" i="15"/>
  <c r="H9" i="15"/>
  <c r="H13" i="15" s="1"/>
  <c r="G11" i="15"/>
  <c r="G12" i="15" s="1"/>
  <c r="G22" i="15" s="1"/>
  <c r="G24" i="15" s="1"/>
  <c r="G11" i="10"/>
  <c r="G12" i="10" s="1"/>
  <c r="H9" i="10"/>
  <c r="H13" i="10" s="1"/>
  <c r="G16" i="11"/>
  <c r="G16" i="20"/>
  <c r="G6" i="20"/>
  <c r="G10" i="20" s="1"/>
  <c r="G6" i="11"/>
  <c r="G10" i="11" s="1"/>
  <c r="E41" i="13"/>
  <c r="K9" i="13" s="1"/>
  <c r="J11" i="3" l="1"/>
  <c r="J12" i="3" s="1"/>
  <c r="J22" i="3" s="1"/>
  <c r="J24" i="3" s="1"/>
  <c r="J25" i="3" s="1"/>
  <c r="J26" i="3" s="1"/>
  <c r="J27" i="3" s="1"/>
  <c r="K9" i="3"/>
  <c r="F38" i="12"/>
  <c r="K4" i="12"/>
  <c r="G25" i="15"/>
  <c r="G26" i="15" s="1"/>
  <c r="G27" i="15" s="1"/>
  <c r="B40" i="14"/>
  <c r="G16" i="10"/>
  <c r="G22" i="10" s="1"/>
  <c r="F41" i="13"/>
  <c r="H9" i="11"/>
  <c r="H13" i="11" s="1"/>
  <c r="G11" i="11"/>
  <c r="G12" i="11" s="1"/>
  <c r="G22" i="11" s="1"/>
  <c r="G11" i="20"/>
  <c r="G12" i="20" s="1"/>
  <c r="G22" i="20" s="1"/>
  <c r="H9" i="20"/>
  <c r="H13" i="20" s="1"/>
  <c r="K10" i="3" l="1"/>
  <c r="K13" i="3"/>
  <c r="B46" i="14"/>
  <c r="B41" i="14"/>
  <c r="G24" i="10"/>
  <c r="B44" i="13" s="1"/>
  <c r="B45" i="13" s="1"/>
  <c r="I10" i="13" s="1"/>
  <c r="G24" i="20"/>
  <c r="G25" i="20" s="1"/>
  <c r="G24" i="11"/>
  <c r="B41" i="12" s="1"/>
  <c r="B42" i="12" s="1"/>
  <c r="I5" i="12" s="1"/>
  <c r="B43" i="14" l="1"/>
  <c r="C46" i="14" s="1"/>
  <c r="I9" i="14"/>
  <c r="K11" i="3"/>
  <c r="K12" i="3" s="1"/>
  <c r="K22" i="3" s="1"/>
  <c r="K24" i="3" s="1"/>
  <c r="K25" i="3" s="1"/>
  <c r="K26" i="3" s="1"/>
  <c r="K27" i="3" s="1"/>
  <c r="L9" i="3"/>
  <c r="D46" i="14"/>
  <c r="B47" i="12"/>
  <c r="B44" i="12"/>
  <c r="C47" i="12" s="1"/>
  <c r="G26" i="20"/>
  <c r="G27" i="20" s="1"/>
  <c r="G25" i="11"/>
  <c r="B50" i="13"/>
  <c r="B47" i="13"/>
  <c r="C50" i="13" s="1"/>
  <c r="G25" i="10"/>
  <c r="H6" i="15" l="1"/>
  <c r="H10" i="15" s="1"/>
  <c r="J9" i="14"/>
  <c r="L10" i="3"/>
  <c r="L13" i="3"/>
  <c r="I9" i="15"/>
  <c r="I13" i="15" s="1"/>
  <c r="H11" i="15"/>
  <c r="H12" i="15" s="1"/>
  <c r="E46" i="14"/>
  <c r="K9" i="14" s="1"/>
  <c r="G26" i="10"/>
  <c r="G27" i="10" s="1"/>
  <c r="G26" i="11"/>
  <c r="G27" i="11" s="1"/>
  <c r="D50" i="13"/>
  <c r="D47" i="12"/>
  <c r="E47" i="12" l="1"/>
  <c r="K5" i="12" s="1"/>
  <c r="J5" i="12"/>
  <c r="H6" i="10"/>
  <c r="H10" i="10" s="1"/>
  <c r="J10" i="13"/>
  <c r="L11" i="3"/>
  <c r="L12" i="3" s="1"/>
  <c r="L22" i="3" s="1"/>
  <c r="L24" i="3" s="1"/>
  <c r="L25" i="3" s="1"/>
  <c r="L26" i="3" s="1"/>
  <c r="L27" i="3" s="1"/>
  <c r="M9" i="3"/>
  <c r="F46" i="14"/>
  <c r="H16" i="15"/>
  <c r="H22" i="15" s="1"/>
  <c r="H24" i="15" s="1"/>
  <c r="H16" i="20"/>
  <c r="H16" i="11"/>
  <c r="F47" i="12"/>
  <c r="H11" i="10"/>
  <c r="H12" i="10" s="1"/>
  <c r="I9" i="10"/>
  <c r="I13" i="10" s="1"/>
  <c r="E50" i="13"/>
  <c r="K10" i="13" s="1"/>
  <c r="H6" i="11"/>
  <c r="H10" i="11" s="1"/>
  <c r="H6" i="20"/>
  <c r="H10" i="20" s="1"/>
  <c r="M13" i="3" l="1"/>
  <c r="M10" i="3"/>
  <c r="H25" i="15"/>
  <c r="H26" i="15" s="1"/>
  <c r="H27" i="15" s="1"/>
  <c r="B49" i="14"/>
  <c r="H11" i="20"/>
  <c r="H12" i="20" s="1"/>
  <c r="H22" i="20" s="1"/>
  <c r="I9" i="20"/>
  <c r="I13" i="20" s="1"/>
  <c r="H16" i="10"/>
  <c r="H22" i="10" s="1"/>
  <c r="F50" i="13"/>
  <c r="H11" i="11"/>
  <c r="H12" i="11" s="1"/>
  <c r="H22" i="11" s="1"/>
  <c r="I9" i="11"/>
  <c r="I13" i="11" s="1"/>
  <c r="M11" i="3" l="1"/>
  <c r="M12" i="3" s="1"/>
  <c r="M22" i="3" s="1"/>
  <c r="M24" i="3" s="1"/>
  <c r="M25" i="3" s="1"/>
  <c r="M26" i="3" s="1"/>
  <c r="M27" i="3" s="1"/>
  <c r="N9" i="3"/>
  <c r="B55" i="14"/>
  <c r="B50" i="14"/>
  <c r="H24" i="10"/>
  <c r="B53" i="13" s="1"/>
  <c r="B54" i="13" s="1"/>
  <c r="I11" i="13" s="1"/>
  <c r="H24" i="11"/>
  <c r="B50" i="12" s="1"/>
  <c r="B51" i="12" s="1"/>
  <c r="I6" i="12" s="1"/>
  <c r="H24" i="20"/>
  <c r="H25" i="20" s="1"/>
  <c r="B52" i="14" l="1"/>
  <c r="C55" i="14" s="1"/>
  <c r="I10" i="14"/>
  <c r="N13" i="3"/>
  <c r="N10" i="3"/>
  <c r="D55" i="14"/>
  <c r="J10" i="14" s="1"/>
  <c r="B53" i="12"/>
  <c r="C56" i="12" s="1"/>
  <c r="B56" i="12"/>
  <c r="H25" i="11"/>
  <c r="H26" i="20"/>
  <c r="H27" i="20" s="1"/>
  <c r="B56" i="13"/>
  <c r="C59" i="13" s="1"/>
  <c r="B59" i="13"/>
  <c r="H25" i="10"/>
  <c r="N11" i="3" l="1"/>
  <c r="N12" i="3" s="1"/>
  <c r="N22" i="3" s="1"/>
  <c r="N24" i="3" s="1"/>
  <c r="N25" i="3" s="1"/>
  <c r="N26" i="3" s="1"/>
  <c r="N27" i="3" s="1"/>
  <c r="O9" i="3"/>
  <c r="O10" i="3" s="1"/>
  <c r="E55" i="14"/>
  <c r="K10" i="14" s="1"/>
  <c r="I6" i="15"/>
  <c r="I10" i="15" s="1"/>
  <c r="H26" i="10"/>
  <c r="H27" i="10" s="1"/>
  <c r="D59" i="13"/>
  <c r="H26" i="11"/>
  <c r="H27" i="11" s="1"/>
  <c r="D56" i="12"/>
  <c r="E56" i="12" l="1"/>
  <c r="J6" i="12"/>
  <c r="I6" i="10"/>
  <c r="I10" i="10" s="1"/>
  <c r="J11" i="13"/>
  <c r="P9" i="3"/>
  <c r="P10" i="3" s="1"/>
  <c r="O11" i="3"/>
  <c r="O12" i="3" s="1"/>
  <c r="O22" i="3" s="1"/>
  <c r="O24" i="3" s="1"/>
  <c r="O25" i="3" s="1"/>
  <c r="O26" i="3" s="1"/>
  <c r="O27" i="3" s="1"/>
  <c r="I11" i="15"/>
  <c r="I12" i="15" s="1"/>
  <c r="J9" i="15"/>
  <c r="J13" i="15" s="1"/>
  <c r="F55" i="14"/>
  <c r="I16" i="15"/>
  <c r="E59" i="13"/>
  <c r="I16" i="20"/>
  <c r="I16" i="11"/>
  <c r="I6" i="20"/>
  <c r="I10" i="20" s="1"/>
  <c r="I6" i="11"/>
  <c r="I10" i="11" s="1"/>
  <c r="J9" i="10"/>
  <c r="J13" i="10" s="1"/>
  <c r="I11" i="10"/>
  <c r="I12" i="10" s="1"/>
  <c r="I16" i="10" l="1"/>
  <c r="K11" i="13"/>
  <c r="P11" i="3"/>
  <c r="P12" i="3" s="1"/>
  <c r="P22" i="3" s="1"/>
  <c r="P24" i="3" s="1"/>
  <c r="P25" i="3" s="1"/>
  <c r="P26" i="3" s="1"/>
  <c r="P27" i="3" s="1"/>
  <c r="Q9" i="3"/>
  <c r="Q10" i="3" s="1"/>
  <c r="F56" i="12"/>
  <c r="K6" i="12"/>
  <c r="I22" i="15"/>
  <c r="I24" i="15" s="1"/>
  <c r="F59" i="13"/>
  <c r="I22" i="10"/>
  <c r="I24" i="10" s="1"/>
  <c r="B62" i="13" s="1"/>
  <c r="B63" i="13" s="1"/>
  <c r="I12" i="13" s="1"/>
  <c r="J9" i="20"/>
  <c r="J13" i="20" s="1"/>
  <c r="I11" i="20"/>
  <c r="I12" i="20" s="1"/>
  <c r="I22" i="20" s="1"/>
  <c r="I11" i="11"/>
  <c r="I12" i="11" s="1"/>
  <c r="I22" i="11" s="1"/>
  <c r="J9" i="11"/>
  <c r="J13" i="11" s="1"/>
  <c r="R9" i="3" l="1"/>
  <c r="R10" i="3" s="1"/>
  <c r="Q11" i="3"/>
  <c r="Q12" i="3" s="1"/>
  <c r="Q22" i="3" s="1"/>
  <c r="Q24" i="3" s="1"/>
  <c r="Q25" i="3" s="1"/>
  <c r="Q26" i="3" s="1"/>
  <c r="Q27" i="3" s="1"/>
  <c r="I25" i="15"/>
  <c r="I26" i="15" s="1"/>
  <c r="I27" i="15" s="1"/>
  <c r="B58" i="14"/>
  <c r="I24" i="20"/>
  <c r="I25" i="20" s="1"/>
  <c r="I26" i="20" s="1"/>
  <c r="I27" i="20" s="1"/>
  <c r="I24" i="11"/>
  <c r="B59" i="12" s="1"/>
  <c r="B60" i="12" s="1"/>
  <c r="I7" i="12" s="1"/>
  <c r="B65" i="13"/>
  <c r="C68" i="13" s="1"/>
  <c r="B68" i="13"/>
  <c r="I25" i="10"/>
  <c r="S9" i="3" l="1"/>
  <c r="S10" i="3" s="1"/>
  <c r="R11" i="3"/>
  <c r="R12" i="3" s="1"/>
  <c r="R22" i="3" s="1"/>
  <c r="R24" i="3" s="1"/>
  <c r="R25" i="3" s="1"/>
  <c r="R26" i="3" s="1"/>
  <c r="R27" i="3" s="1"/>
  <c r="B64" i="14"/>
  <c r="B59" i="14"/>
  <c r="I26" i="10"/>
  <c r="I27" i="10" s="1"/>
  <c r="B62" i="12"/>
  <c r="C65" i="12" s="1"/>
  <c r="B65" i="12"/>
  <c r="I25" i="11"/>
  <c r="I26" i="11" s="1"/>
  <c r="I27" i="11" s="1"/>
  <c r="D68" i="13"/>
  <c r="J6" i="10" l="1"/>
  <c r="J10" i="10" s="1"/>
  <c r="J12" i="13"/>
  <c r="B61" i="14"/>
  <c r="C64" i="14" s="1"/>
  <c r="I11" i="14"/>
  <c r="T9" i="3"/>
  <c r="T10" i="3" s="1"/>
  <c r="S11" i="3"/>
  <c r="S12" i="3" s="1"/>
  <c r="S22" i="3" s="1"/>
  <c r="S24" i="3" s="1"/>
  <c r="S25" i="3" s="1"/>
  <c r="S26" i="3" s="1"/>
  <c r="S27" i="3" s="1"/>
  <c r="D64" i="14"/>
  <c r="J11" i="14" s="1"/>
  <c r="J11" i="10"/>
  <c r="J12" i="10" s="1"/>
  <c r="K9" i="10"/>
  <c r="K13" i="10" s="1"/>
  <c r="D65" i="12"/>
  <c r="E68" i="13"/>
  <c r="K12" i="13" s="1"/>
  <c r="E65" i="12" l="1"/>
  <c r="J7" i="12"/>
  <c r="U9" i="3"/>
  <c r="U10" i="3" s="1"/>
  <c r="T11" i="3"/>
  <c r="T12" i="3" s="1"/>
  <c r="T22" i="3" s="1"/>
  <c r="T24" i="3" s="1"/>
  <c r="T25" i="3" s="1"/>
  <c r="T26" i="3" s="1"/>
  <c r="T27" i="3" s="1"/>
  <c r="E64" i="14"/>
  <c r="K11" i="14" s="1"/>
  <c r="J6" i="15"/>
  <c r="J10" i="15" s="1"/>
  <c r="J16" i="10"/>
  <c r="J22" i="10" s="1"/>
  <c r="F68" i="13"/>
  <c r="J16" i="11"/>
  <c r="J16" i="20"/>
  <c r="J6" i="20"/>
  <c r="J10" i="20" s="1"/>
  <c r="J6" i="11"/>
  <c r="J10" i="11" s="1"/>
  <c r="U11" i="3" l="1"/>
  <c r="U12" i="3" s="1"/>
  <c r="U22" i="3" s="1"/>
  <c r="U24" i="3" s="1"/>
  <c r="U25" i="3" s="1"/>
  <c r="U26" i="3" s="1"/>
  <c r="U27" i="3" s="1"/>
  <c r="V9" i="3"/>
  <c r="V10" i="3" s="1"/>
  <c r="F65" i="12"/>
  <c r="K7" i="12"/>
  <c r="F64" i="14"/>
  <c r="J16" i="15"/>
  <c r="K9" i="15"/>
  <c r="J11" i="15"/>
  <c r="J12" i="15" s="1"/>
  <c r="J24" i="10"/>
  <c r="B71" i="13" s="1"/>
  <c r="B72" i="13" s="1"/>
  <c r="I13" i="13" s="1"/>
  <c r="J11" i="20"/>
  <c r="J12" i="20" s="1"/>
  <c r="J22" i="20" s="1"/>
  <c r="K9" i="20"/>
  <c r="K13" i="20" s="1"/>
  <c r="K9" i="11"/>
  <c r="K13" i="11" s="1"/>
  <c r="J11" i="11"/>
  <c r="J12" i="11" s="1"/>
  <c r="J22" i="11" s="1"/>
  <c r="W9" i="3" l="1"/>
  <c r="W10" i="3" s="1"/>
  <c r="V11" i="3"/>
  <c r="V12" i="3" s="1"/>
  <c r="V22" i="3" s="1"/>
  <c r="V24" i="3" s="1"/>
  <c r="V25" i="3" s="1"/>
  <c r="V26" i="3" s="1"/>
  <c r="V27" i="3" s="1"/>
  <c r="J22" i="15"/>
  <c r="J24" i="15" s="1"/>
  <c r="J25" i="15" s="1"/>
  <c r="J26" i="15" s="1"/>
  <c r="J27" i="15" s="1"/>
  <c r="K10" i="15"/>
  <c r="K13" i="15"/>
  <c r="J24" i="11"/>
  <c r="B68" i="12" s="1"/>
  <c r="B69" i="12" s="1"/>
  <c r="I8" i="12" s="1"/>
  <c r="J24" i="20"/>
  <c r="J25" i="20" s="1"/>
  <c r="J26" i="20" s="1"/>
  <c r="J27" i="20" s="1"/>
  <c r="B74" i="13"/>
  <c r="C77" i="13" s="1"/>
  <c r="B77" i="13"/>
  <c r="J25" i="10"/>
  <c r="X9" i="3" l="1"/>
  <c r="X10" i="3" s="1"/>
  <c r="W11" i="3"/>
  <c r="W12" i="3" s="1"/>
  <c r="W22" i="3" s="1"/>
  <c r="W24" i="3" s="1"/>
  <c r="W25" i="3" s="1"/>
  <c r="L9" i="15"/>
  <c r="K11" i="15"/>
  <c r="K12" i="15" s="1"/>
  <c r="K22" i="15" s="1"/>
  <c r="K24" i="15" s="1"/>
  <c r="K25" i="15" s="1"/>
  <c r="K26" i="15" s="1"/>
  <c r="K27" i="15" s="1"/>
  <c r="J26" i="10"/>
  <c r="J27" i="10" s="1"/>
  <c r="D77" i="13"/>
  <c r="B71" i="12"/>
  <c r="C74" i="12" s="1"/>
  <c r="B74" i="12"/>
  <c r="J25" i="11"/>
  <c r="J26" i="11" s="1"/>
  <c r="J27" i="11" s="1"/>
  <c r="K6" i="10" l="1"/>
  <c r="K10" i="10" s="1"/>
  <c r="J13" i="13"/>
  <c r="W26" i="3"/>
  <c r="W27" i="3" s="1"/>
  <c r="X11" i="3"/>
  <c r="X12" i="3" s="1"/>
  <c r="X22" i="3" s="1"/>
  <c r="X24" i="3" s="1"/>
  <c r="X25" i="3" s="1"/>
  <c r="Y9" i="3"/>
  <c r="Y10" i="3" s="1"/>
  <c r="L13" i="15"/>
  <c r="L10" i="15"/>
  <c r="E77" i="13"/>
  <c r="D74" i="12"/>
  <c r="J8" i="12" s="1"/>
  <c r="K11" i="10"/>
  <c r="K12" i="10" s="1"/>
  <c r="L9" i="10"/>
  <c r="L13" i="10" s="1"/>
  <c r="K16" i="10" l="1"/>
  <c r="K13" i="13"/>
  <c r="Y11" i="3"/>
  <c r="Y12" i="3" s="1"/>
  <c r="Y22" i="3" s="1"/>
  <c r="Y24" i="3" s="1"/>
  <c r="Y25" i="3" s="1"/>
  <c r="Y26" i="3" s="1"/>
  <c r="Z9" i="3"/>
  <c r="Z10" i="3" s="1"/>
  <c r="X26" i="3"/>
  <c r="X27" i="3" s="1"/>
  <c r="L11" i="15"/>
  <c r="L12" i="15" s="1"/>
  <c r="L22" i="15" s="1"/>
  <c r="L24" i="15" s="1"/>
  <c r="L25" i="15" s="1"/>
  <c r="L26" i="15" s="1"/>
  <c r="L27" i="15" s="1"/>
  <c r="M9" i="15"/>
  <c r="K22" i="10"/>
  <c r="K24" i="10" s="1"/>
  <c r="B80" i="13" s="1"/>
  <c r="B81" i="13" s="1"/>
  <c r="I14" i="13" s="1"/>
  <c r="F77" i="13"/>
  <c r="K6" i="20"/>
  <c r="K10" i="20" s="1"/>
  <c r="K6" i="11"/>
  <c r="K10" i="11" s="1"/>
  <c r="E74" i="12"/>
  <c r="K8" i="12" s="1"/>
  <c r="Z11" i="3" l="1"/>
  <c r="Z12" i="3" s="1"/>
  <c r="Z22" i="3" s="1"/>
  <c r="Z24" i="3" s="1"/>
  <c r="Z25" i="3" s="1"/>
  <c r="AA9" i="3"/>
  <c r="AA10" i="3" s="1"/>
  <c r="Y27" i="3"/>
  <c r="M10" i="15"/>
  <c r="M13" i="15"/>
  <c r="K25" i="10"/>
  <c r="K16" i="11"/>
  <c r="K16" i="20"/>
  <c r="F74" i="12"/>
  <c r="K11" i="11"/>
  <c r="K12" i="11" s="1"/>
  <c r="L9" i="11"/>
  <c r="L13" i="11" s="1"/>
  <c r="K11" i="20"/>
  <c r="K12" i="20" s="1"/>
  <c r="L9" i="20"/>
  <c r="L13" i="20" s="1"/>
  <c r="B83" i="13"/>
  <c r="C86" i="13" s="1"/>
  <c r="B86" i="13"/>
  <c r="AB9" i="3" l="1"/>
  <c r="AB10" i="3" s="1"/>
  <c r="AB11" i="3" s="1"/>
  <c r="AB12" i="3" s="1"/>
  <c r="AB22" i="3" s="1"/>
  <c r="AB24" i="3" s="1"/>
  <c r="AB25" i="3" s="1"/>
  <c r="AB26" i="3" s="1"/>
  <c r="AA11" i="3"/>
  <c r="AA12" i="3" s="1"/>
  <c r="AA22" i="3" s="1"/>
  <c r="AA24" i="3" s="1"/>
  <c r="AA25" i="3" s="1"/>
  <c r="AA26" i="3" s="1"/>
  <c r="Z26" i="3"/>
  <c r="Z27" i="3" s="1"/>
  <c r="C30" i="3"/>
  <c r="H4" i="1" s="1"/>
  <c r="C29" i="3"/>
  <c r="G4" i="1" s="1"/>
  <c r="M11" i="15"/>
  <c r="M12" i="15" s="1"/>
  <c r="M22" i="15" s="1"/>
  <c r="M24" i="15" s="1"/>
  <c r="M25" i="15" s="1"/>
  <c r="M26" i="15" s="1"/>
  <c r="M27" i="15" s="1"/>
  <c r="N9" i="15"/>
  <c r="K22" i="20"/>
  <c r="K24" i="20" s="1"/>
  <c r="K25" i="20" s="1"/>
  <c r="K26" i="20" s="1"/>
  <c r="K27" i="20" s="1"/>
  <c r="K22" i="11"/>
  <c r="K24" i="11" s="1"/>
  <c r="B77" i="12" s="1"/>
  <c r="B78" i="12" s="1"/>
  <c r="I9" i="12" s="1"/>
  <c r="K26" i="10"/>
  <c r="K27" i="10" s="1"/>
  <c r="D86" i="13"/>
  <c r="L6" i="10" l="1"/>
  <c r="L10" i="10" s="1"/>
  <c r="J14" i="13"/>
  <c r="AA27" i="3"/>
  <c r="AB27" i="3" s="1"/>
  <c r="N10" i="15"/>
  <c r="N13" i="15"/>
  <c r="K25" i="11"/>
  <c r="K26" i="11" s="1"/>
  <c r="K27" i="11" s="1"/>
  <c r="E86" i="13"/>
  <c r="K14" i="13" s="1"/>
  <c r="B80" i="12"/>
  <c r="C83" i="12" s="1"/>
  <c r="B83" i="12"/>
  <c r="L11" i="10"/>
  <c r="L12" i="10" s="1"/>
  <c r="M9" i="10"/>
  <c r="M13" i="10" s="1"/>
  <c r="N11" i="15" l="1"/>
  <c r="N12" i="15" s="1"/>
  <c r="N22" i="15" s="1"/>
  <c r="N24" i="15" s="1"/>
  <c r="N25" i="15" s="1"/>
  <c r="N26" i="15" s="1"/>
  <c r="N27" i="15" s="1"/>
  <c r="O9" i="15"/>
  <c r="D83" i="12"/>
  <c r="L16" i="10"/>
  <c r="L22" i="10" s="1"/>
  <c r="F86" i="13"/>
  <c r="E83" i="12" l="1"/>
  <c r="J9" i="12"/>
  <c r="O10" i="15"/>
  <c r="O13" i="15"/>
  <c r="L24" i="10"/>
  <c r="B89" i="13" s="1"/>
  <c r="B90" i="13" s="1"/>
  <c r="I15" i="13" s="1"/>
  <c r="L16" i="11"/>
  <c r="L16" i="20"/>
  <c r="L6" i="20"/>
  <c r="L10" i="20" s="1"/>
  <c r="L6" i="11"/>
  <c r="L10" i="11" s="1"/>
  <c r="F83" i="12" l="1"/>
  <c r="K9" i="12"/>
  <c r="O11" i="15"/>
  <c r="O12" i="15" s="1"/>
  <c r="O22" i="15" s="1"/>
  <c r="O24" i="15" s="1"/>
  <c r="O25" i="15" s="1"/>
  <c r="O26" i="15" s="1"/>
  <c r="O27" i="15" s="1"/>
  <c r="P9" i="15"/>
  <c r="L25" i="10"/>
  <c r="L11" i="11"/>
  <c r="L12" i="11" s="1"/>
  <c r="L22" i="11" s="1"/>
  <c r="M9" i="11"/>
  <c r="M13" i="11" s="1"/>
  <c r="L11" i="20"/>
  <c r="L12" i="20" s="1"/>
  <c r="L22" i="20" s="1"/>
  <c r="M9" i="20"/>
  <c r="M13" i="20" s="1"/>
  <c r="B92" i="13"/>
  <c r="C95" i="13" s="1"/>
  <c r="B95" i="13"/>
  <c r="P13" i="15" l="1"/>
  <c r="P10" i="15"/>
  <c r="L26" i="10"/>
  <c r="L27" i="10" s="1"/>
  <c r="L24" i="20"/>
  <c r="L25" i="20" s="1"/>
  <c r="L26" i="20" s="1"/>
  <c r="L27" i="20" s="1"/>
  <c r="D95" i="13"/>
  <c r="L24" i="11"/>
  <c r="B86" i="12" s="1"/>
  <c r="B87" i="12" s="1"/>
  <c r="I10" i="12" s="1"/>
  <c r="M6" i="10" l="1"/>
  <c r="M10" i="10" s="1"/>
  <c r="J15" i="13"/>
  <c r="Q9" i="15"/>
  <c r="P11" i="15"/>
  <c r="P12" i="15" s="1"/>
  <c r="P22" i="15" s="1"/>
  <c r="P24" i="15" s="1"/>
  <c r="P25" i="15" s="1"/>
  <c r="P26" i="15" s="1"/>
  <c r="P27" i="15" s="1"/>
  <c r="E95" i="13"/>
  <c r="M11" i="10"/>
  <c r="M12" i="10" s="1"/>
  <c r="N9" i="10"/>
  <c r="N13" i="10" s="1"/>
  <c r="B92" i="12"/>
  <c r="B89" i="12"/>
  <c r="C92" i="12" s="1"/>
  <c r="L25" i="11"/>
  <c r="L26" i="11" s="1"/>
  <c r="L27" i="11" s="1"/>
  <c r="M16" i="10" l="1"/>
  <c r="K15" i="13"/>
  <c r="Q13" i="15"/>
  <c r="Q10" i="15"/>
  <c r="F95" i="13"/>
  <c r="M22" i="10"/>
  <c r="M24" i="10" s="1"/>
  <c r="B98" i="13" s="1"/>
  <c r="B99" i="13" s="1"/>
  <c r="D92" i="12"/>
  <c r="E92" i="12" l="1"/>
  <c r="K10" i="12" s="1"/>
  <c r="J10" i="12"/>
  <c r="R9" i="15"/>
  <c r="Q11" i="15"/>
  <c r="Q12" i="15" s="1"/>
  <c r="Q22" i="15" s="1"/>
  <c r="Q24" i="15" s="1"/>
  <c r="Q25" i="15" s="1"/>
  <c r="Q26" i="15" s="1"/>
  <c r="Q27" i="15" s="1"/>
  <c r="M16" i="11"/>
  <c r="M16" i="20"/>
  <c r="B101" i="13"/>
  <c r="C104" i="13" s="1"/>
  <c r="B104" i="13"/>
  <c r="M6" i="11"/>
  <c r="M10" i="11" s="1"/>
  <c r="M6" i="20"/>
  <c r="M10" i="20" s="1"/>
  <c r="M25" i="10"/>
  <c r="F92" i="12"/>
  <c r="R13" i="15" l="1"/>
  <c r="R10" i="15"/>
  <c r="M26" i="10"/>
  <c r="M27" i="10" s="1"/>
  <c r="M11" i="20"/>
  <c r="M12" i="20" s="1"/>
  <c r="M22" i="20" s="1"/>
  <c r="N9" i="20"/>
  <c r="N13" i="20" s="1"/>
  <c r="N9" i="11"/>
  <c r="N13" i="11" s="1"/>
  <c r="M11" i="11"/>
  <c r="M12" i="11" s="1"/>
  <c r="M22" i="11" s="1"/>
  <c r="D104" i="13"/>
  <c r="N6" i="10" s="1"/>
  <c r="N10" i="10" s="1"/>
  <c r="S9" i="15" l="1"/>
  <c r="R11" i="15"/>
  <c r="R12" i="15" s="1"/>
  <c r="R22" i="15" s="1"/>
  <c r="R24" i="15" s="1"/>
  <c r="R25" i="15" s="1"/>
  <c r="R26" i="15" s="1"/>
  <c r="R27" i="15" s="1"/>
  <c r="E104" i="13"/>
  <c r="N16" i="10" s="1"/>
  <c r="M24" i="20"/>
  <c r="M25" i="20" s="1"/>
  <c r="M26" i="20" s="1"/>
  <c r="M27" i="20" s="1"/>
  <c r="M24" i="11"/>
  <c r="B95" i="12" s="1"/>
  <c r="B96" i="12" s="1"/>
  <c r="I11" i="12" s="1"/>
  <c r="O9" i="10"/>
  <c r="O13" i="10" s="1"/>
  <c r="N11" i="10"/>
  <c r="N12" i="10" s="1"/>
  <c r="S13" i="15" l="1"/>
  <c r="S10" i="15"/>
  <c r="F104" i="13"/>
  <c r="N22" i="10"/>
  <c r="N24" i="10" s="1"/>
  <c r="B107" i="13" s="1"/>
  <c r="B108" i="13" s="1"/>
  <c r="B98" i="12"/>
  <c r="C101" i="12" s="1"/>
  <c r="B101" i="12"/>
  <c r="M25" i="11"/>
  <c r="M26" i="11" s="1"/>
  <c r="M27" i="11" s="1"/>
  <c r="S11" i="15" l="1"/>
  <c r="S12" i="15" s="1"/>
  <c r="S22" i="15" s="1"/>
  <c r="S24" i="15" s="1"/>
  <c r="S25" i="15" s="1"/>
  <c r="S26" i="15" s="1"/>
  <c r="S27" i="15" s="1"/>
  <c r="T9" i="15"/>
  <c r="B110" i="13"/>
  <c r="C113" i="13" s="1"/>
  <c r="B113" i="13"/>
  <c r="N25" i="10"/>
  <c r="D101" i="12"/>
  <c r="J11" i="12" s="1"/>
  <c r="T13" i="15" l="1"/>
  <c r="T10" i="15"/>
  <c r="N26" i="10"/>
  <c r="N27" i="10" s="1"/>
  <c r="D113" i="13"/>
  <c r="O6" i="10" s="1"/>
  <c r="O10" i="10" s="1"/>
  <c r="N6" i="20"/>
  <c r="N10" i="20" s="1"/>
  <c r="N6" i="11"/>
  <c r="N10" i="11" s="1"/>
  <c r="E101" i="12"/>
  <c r="K11" i="12" s="1"/>
  <c r="T11" i="15" l="1"/>
  <c r="T12" i="15" s="1"/>
  <c r="T22" i="15" s="1"/>
  <c r="T24" i="15" s="1"/>
  <c r="T25" i="15" s="1"/>
  <c r="T26" i="15" s="1"/>
  <c r="T27" i="15" s="1"/>
  <c r="U9" i="15"/>
  <c r="O11" i="10"/>
  <c r="O12" i="10" s="1"/>
  <c r="P9" i="10"/>
  <c r="P13" i="10" s="1"/>
  <c r="N11" i="11"/>
  <c r="N12" i="11" s="1"/>
  <c r="O9" i="11"/>
  <c r="O13" i="11" s="1"/>
  <c r="N11" i="20"/>
  <c r="N12" i="20" s="1"/>
  <c r="O9" i="20"/>
  <c r="O13" i="20" s="1"/>
  <c r="N16" i="11"/>
  <c r="N16" i="20"/>
  <c r="F101" i="12"/>
  <c r="E113" i="13"/>
  <c r="U13" i="15" l="1"/>
  <c r="U10" i="15"/>
  <c r="N22" i="20"/>
  <c r="N24" i="20" s="1"/>
  <c r="N25" i="20" s="1"/>
  <c r="N26" i="20" s="1"/>
  <c r="N27" i="20" s="1"/>
  <c r="N22" i="11"/>
  <c r="O16" i="10"/>
  <c r="O22" i="10" s="1"/>
  <c r="F113" i="13"/>
  <c r="U11" i="15" l="1"/>
  <c r="U12" i="15" s="1"/>
  <c r="U22" i="15" s="1"/>
  <c r="U24" i="15" s="1"/>
  <c r="U25" i="15" s="1"/>
  <c r="U26" i="15" s="1"/>
  <c r="U27" i="15" s="1"/>
  <c r="V9" i="15"/>
  <c r="O24" i="10"/>
  <c r="B116" i="13" s="1"/>
  <c r="B117" i="13" s="1"/>
  <c r="N24" i="11"/>
  <c r="B104" i="12" s="1"/>
  <c r="B105" i="12" s="1"/>
  <c r="I12" i="12" s="1"/>
  <c r="V13" i="15" l="1"/>
  <c r="V10" i="15"/>
  <c r="N25" i="11"/>
  <c r="N26" i="11" s="1"/>
  <c r="N27" i="11" s="1"/>
  <c r="B107" i="12"/>
  <c r="C110" i="12" s="1"/>
  <c r="B110" i="12"/>
  <c r="B119" i="13"/>
  <c r="C122" i="13" s="1"/>
  <c r="B122" i="13"/>
  <c r="O25" i="10"/>
  <c r="V11" i="15" l="1"/>
  <c r="V12" i="15" s="1"/>
  <c r="V22" i="15" s="1"/>
  <c r="V24" i="15" s="1"/>
  <c r="V25" i="15" s="1"/>
  <c r="V26" i="15" s="1"/>
  <c r="V27" i="15" s="1"/>
  <c r="W9" i="15"/>
  <c r="O26" i="10"/>
  <c r="O27" i="10" s="1"/>
  <c r="D110" i="12"/>
  <c r="D122" i="13"/>
  <c r="P6" i="10" s="1"/>
  <c r="P10" i="10" s="1"/>
  <c r="E110" i="12" l="1"/>
  <c r="K12" i="12" s="1"/>
  <c r="J12" i="12"/>
  <c r="W13" i="15"/>
  <c r="W10" i="15"/>
  <c r="P11" i="10"/>
  <c r="P12" i="10" s="1"/>
  <c r="Q9" i="10"/>
  <c r="O16" i="20"/>
  <c r="O16" i="11"/>
  <c r="O6" i="20"/>
  <c r="O10" i="20" s="1"/>
  <c r="O6" i="11"/>
  <c r="O10" i="11" s="1"/>
  <c r="E122" i="13"/>
  <c r="F110" i="12"/>
  <c r="W11" i="15" l="1"/>
  <c r="W12" i="15" s="1"/>
  <c r="W22" i="15" s="1"/>
  <c r="W24" i="15" s="1"/>
  <c r="W25" i="15" s="1"/>
  <c r="X9" i="15"/>
  <c r="Q13" i="10"/>
  <c r="Q10" i="10"/>
  <c r="P16" i="10"/>
  <c r="P22" i="10" s="1"/>
  <c r="F122" i="13"/>
  <c r="P9" i="11"/>
  <c r="P13" i="11" s="1"/>
  <c r="O11" i="11"/>
  <c r="O12" i="11" s="1"/>
  <c r="O22" i="11" s="1"/>
  <c r="O11" i="20"/>
  <c r="O12" i="20" s="1"/>
  <c r="O22" i="20" s="1"/>
  <c r="P9" i="20"/>
  <c r="P13" i="20" s="1"/>
  <c r="X13" i="15" l="1"/>
  <c r="X10" i="15"/>
  <c r="W26" i="15"/>
  <c r="W27" i="15" s="1"/>
  <c r="P24" i="10"/>
  <c r="P25" i="10" s="1"/>
  <c r="O24" i="11"/>
  <c r="B113" i="12" s="1"/>
  <c r="B114" i="12" s="1"/>
  <c r="I13" i="12" s="1"/>
  <c r="O24" i="20"/>
  <c r="O25" i="20" s="1"/>
  <c r="O26" i="20" s="1"/>
  <c r="O27" i="20" s="1"/>
  <c r="Q11" i="10"/>
  <c r="Q12" i="10" s="1"/>
  <c r="Q22" i="10" s="1"/>
  <c r="R9" i="10"/>
  <c r="X11" i="15" l="1"/>
  <c r="X12" i="15" s="1"/>
  <c r="X22" i="15" s="1"/>
  <c r="X24" i="15" s="1"/>
  <c r="X25" i="15" s="1"/>
  <c r="Y9" i="15"/>
  <c r="P26" i="10"/>
  <c r="P27" i="10" s="1"/>
  <c r="Q24" i="10"/>
  <c r="Q25" i="10" s="1"/>
  <c r="B116" i="12"/>
  <c r="C119" i="12" s="1"/>
  <c r="B119" i="12"/>
  <c r="O25" i="11"/>
  <c r="O26" i="11" s="1"/>
  <c r="O27" i="11" s="1"/>
  <c r="R13" i="10"/>
  <c r="R10" i="10"/>
  <c r="X26" i="15" l="1"/>
  <c r="X27" i="15" s="1"/>
  <c r="Y13" i="15"/>
  <c r="Y10" i="15"/>
  <c r="Q26" i="10"/>
  <c r="Q27" i="10" s="1"/>
  <c r="D119" i="12"/>
  <c r="J13" i="12" s="1"/>
  <c r="R11" i="10"/>
  <c r="R12" i="10" s="1"/>
  <c r="R22" i="10" s="1"/>
  <c r="S9" i="10"/>
  <c r="Z9" i="15" l="1"/>
  <c r="Y11" i="15"/>
  <c r="Y12" i="15" s="1"/>
  <c r="Y22" i="15" s="1"/>
  <c r="Y24" i="15" s="1"/>
  <c r="Y25" i="15" s="1"/>
  <c r="R24" i="10"/>
  <c r="R25" i="10" s="1"/>
  <c r="P6" i="11"/>
  <c r="P10" i="11" s="1"/>
  <c r="P6" i="20"/>
  <c r="P10" i="20" s="1"/>
  <c r="S13" i="10"/>
  <c r="S10" i="10"/>
  <c r="E119" i="12"/>
  <c r="K13" i="12" s="1"/>
  <c r="Z13" i="15" l="1"/>
  <c r="Z10" i="15"/>
  <c r="Y26" i="15"/>
  <c r="Y27" i="15" s="1"/>
  <c r="R26" i="10"/>
  <c r="R27" i="10" s="1"/>
  <c r="P11" i="20"/>
  <c r="P12" i="20" s="1"/>
  <c r="Q9" i="20"/>
  <c r="Q13" i="20" s="1"/>
  <c r="P16" i="20"/>
  <c r="P16" i="11"/>
  <c r="F119" i="12"/>
  <c r="P11" i="11"/>
  <c r="P12" i="11" s="1"/>
  <c r="Q9" i="11"/>
  <c r="Q13" i="11" s="1"/>
  <c r="S11" i="10"/>
  <c r="S12" i="10" s="1"/>
  <c r="S22" i="10" s="1"/>
  <c r="T9" i="10"/>
  <c r="Z11" i="15" l="1"/>
  <c r="Z12" i="15" s="1"/>
  <c r="Z22" i="15" s="1"/>
  <c r="Z24" i="15" s="1"/>
  <c r="Z25" i="15" s="1"/>
  <c r="AA9" i="15"/>
  <c r="P22" i="20"/>
  <c r="P24" i="20" s="1"/>
  <c r="B122" i="12" s="1"/>
  <c r="B123" i="12" s="1"/>
  <c r="P22" i="11"/>
  <c r="P24" i="11" s="1"/>
  <c r="P25" i="11" s="1"/>
  <c r="P26" i="11" s="1"/>
  <c r="P27" i="11" s="1"/>
  <c r="S24" i="10"/>
  <c r="S25" i="10" s="1"/>
  <c r="T13" i="10"/>
  <c r="T10" i="10"/>
  <c r="Z26" i="15" l="1"/>
  <c r="Z27" i="15" s="1"/>
  <c r="AA13" i="15"/>
  <c r="AA10" i="15"/>
  <c r="S26" i="10"/>
  <c r="S27" i="10" s="1"/>
  <c r="T11" i="10"/>
  <c r="T12" i="10" s="1"/>
  <c r="T22" i="10" s="1"/>
  <c r="U9" i="10"/>
  <c r="B125" i="12"/>
  <c r="C128" i="12" s="1"/>
  <c r="B128" i="12"/>
  <c r="P25" i="20"/>
  <c r="P26" i="20" s="1"/>
  <c r="P27" i="20" s="1"/>
  <c r="AA11" i="15" l="1"/>
  <c r="AA12" i="15" s="1"/>
  <c r="AA22" i="15" s="1"/>
  <c r="AA24" i="15" s="1"/>
  <c r="AA25" i="15" s="1"/>
  <c r="AB9" i="15"/>
  <c r="T24" i="10"/>
  <c r="T25" i="10" s="1"/>
  <c r="U13" i="10"/>
  <c r="U10" i="10"/>
  <c r="D128" i="12"/>
  <c r="AA26" i="15" l="1"/>
  <c r="AA27" i="15" s="1"/>
  <c r="AB10" i="15"/>
  <c r="AB11" i="15" s="1"/>
  <c r="AB12" i="15" s="1"/>
  <c r="AB13" i="15"/>
  <c r="T26" i="10"/>
  <c r="T27" i="10" s="1"/>
  <c r="Q6" i="20"/>
  <c r="Q10" i="20" s="1"/>
  <c r="Q6" i="11"/>
  <c r="Q10" i="11" s="1"/>
  <c r="U11" i="10"/>
  <c r="U12" i="10" s="1"/>
  <c r="U22" i="10" s="1"/>
  <c r="V9" i="10"/>
  <c r="E128" i="12"/>
  <c r="AB22" i="15" l="1"/>
  <c r="AB24" i="15" s="1"/>
  <c r="AB25" i="15" s="1"/>
  <c r="AB26" i="15" s="1"/>
  <c r="AB27" i="15" s="1"/>
  <c r="C29" i="15"/>
  <c r="G5" i="1" s="1"/>
  <c r="C30" i="15"/>
  <c r="H5" i="1" s="1"/>
  <c r="U24" i="10"/>
  <c r="U25" i="10" s="1"/>
  <c r="Q16" i="20"/>
  <c r="Q16" i="11"/>
  <c r="F128" i="12"/>
  <c r="Q11" i="11"/>
  <c r="Q12" i="11" s="1"/>
  <c r="R9" i="11"/>
  <c r="R13" i="11" s="1"/>
  <c r="V13" i="10"/>
  <c r="V10" i="10"/>
  <c r="Q11" i="20"/>
  <c r="Q12" i="20" s="1"/>
  <c r="R9" i="20"/>
  <c r="R13" i="20" s="1"/>
  <c r="U26" i="10" l="1"/>
  <c r="U27" i="10" s="1"/>
  <c r="Q22" i="20"/>
  <c r="Q24" i="20" s="1"/>
  <c r="B131" i="12" s="1"/>
  <c r="Q22" i="11"/>
  <c r="Q24" i="11" s="1"/>
  <c r="V11" i="10"/>
  <c r="V12" i="10" s="1"/>
  <c r="V22" i="10" s="1"/>
  <c r="W9" i="10"/>
  <c r="W10" i="10" s="1"/>
  <c r="Q25" i="11" l="1"/>
  <c r="Q26" i="11" s="1"/>
  <c r="Q27" i="11" s="1"/>
  <c r="V24" i="10"/>
  <c r="V25" i="10" s="1"/>
  <c r="W11" i="10"/>
  <c r="W12" i="10" s="1"/>
  <c r="W22" i="10" s="1"/>
  <c r="X9" i="10"/>
  <c r="X10" i="10" s="1"/>
  <c r="B132" i="12"/>
  <c r="B134" i="12" s="1"/>
  <c r="C137" i="12" s="1"/>
  <c r="B137" i="12"/>
  <c r="Q25" i="20"/>
  <c r="Q26" i="20" s="1"/>
  <c r="Q27" i="20" s="1"/>
  <c r="V26" i="10" l="1"/>
  <c r="V27" i="10" s="1"/>
  <c r="W24" i="10"/>
  <c r="W25" i="10" s="1"/>
  <c r="D137" i="12"/>
  <c r="X11" i="10"/>
  <c r="X12" i="10" s="1"/>
  <c r="X22" i="10" s="1"/>
  <c r="Y9" i="10"/>
  <c r="Y10" i="10" s="1"/>
  <c r="W26" i="10" l="1"/>
  <c r="W27" i="10" s="1"/>
  <c r="R6" i="11"/>
  <c r="R10" i="11" s="1"/>
  <c r="R6" i="20"/>
  <c r="R10" i="20" s="1"/>
  <c r="Y11" i="10"/>
  <c r="Y12" i="10" s="1"/>
  <c r="Y22" i="10" s="1"/>
  <c r="Z9" i="10"/>
  <c r="Z10" i="10" s="1"/>
  <c r="X24" i="10"/>
  <c r="X25" i="10" s="1"/>
  <c r="E137" i="12"/>
  <c r="X26" i="10" l="1"/>
  <c r="X27" i="10" s="1"/>
  <c r="Y24" i="10"/>
  <c r="Y25" i="10" s="1"/>
  <c r="R16" i="11"/>
  <c r="R16" i="20"/>
  <c r="F137" i="12"/>
  <c r="R11" i="20"/>
  <c r="R12" i="20" s="1"/>
  <c r="S9" i="20"/>
  <c r="S13" i="20" s="1"/>
  <c r="Z11" i="10"/>
  <c r="Z12" i="10" s="1"/>
  <c r="Z22" i="10" s="1"/>
  <c r="AA9" i="10"/>
  <c r="AA10" i="10" s="1"/>
  <c r="R11" i="11"/>
  <c r="R12" i="11" s="1"/>
  <c r="S9" i="11"/>
  <c r="S13" i="11" s="1"/>
  <c r="Y26" i="10" l="1"/>
  <c r="Y27" i="10" s="1"/>
  <c r="R22" i="20"/>
  <c r="R24" i="20" s="1"/>
  <c r="B140" i="12" s="1"/>
  <c r="R22" i="11"/>
  <c r="AA11" i="10"/>
  <c r="AA12" i="10" s="1"/>
  <c r="AA22" i="10" s="1"/>
  <c r="AB9" i="10"/>
  <c r="AB10" i="10" s="1"/>
  <c r="Z24" i="10"/>
  <c r="Z25" i="10" s="1"/>
  <c r="Z26" i="10" l="1"/>
  <c r="Z27" i="10" s="1"/>
  <c r="AA24" i="10"/>
  <c r="AA25" i="10" s="1"/>
  <c r="R24" i="11"/>
  <c r="R25" i="11" s="1"/>
  <c r="R26" i="11" s="1"/>
  <c r="R27" i="11" s="1"/>
  <c r="AB11" i="10"/>
  <c r="AB12" i="10" s="1"/>
  <c r="AB22" i="10" s="1"/>
  <c r="B141" i="12"/>
  <c r="B143" i="12" s="1"/>
  <c r="C146" i="12" s="1"/>
  <c r="B146" i="12"/>
  <c r="R25" i="20"/>
  <c r="R26" i="20" s="1"/>
  <c r="R27" i="20" s="1"/>
  <c r="AA26" i="10" l="1"/>
  <c r="AA27" i="10" s="1"/>
  <c r="D146" i="12"/>
  <c r="AB24" i="10"/>
  <c r="AB25" i="10" s="1"/>
  <c r="AB26" i="10" l="1"/>
  <c r="AB27" i="10" s="1"/>
  <c r="C29" i="10"/>
  <c r="G6" i="1" s="1"/>
  <c r="C30" i="10"/>
  <c r="H6" i="1" s="1"/>
  <c r="S6" i="11"/>
  <c r="S10" i="11" s="1"/>
  <c r="S6" i="20"/>
  <c r="S10" i="20" s="1"/>
  <c r="E146" i="12"/>
  <c r="S16" i="20" l="1"/>
  <c r="S16" i="11"/>
  <c r="F146" i="12"/>
  <c r="T9" i="11"/>
  <c r="T13" i="11" s="1"/>
  <c r="S11" i="11"/>
  <c r="S12" i="11" s="1"/>
  <c r="S11" i="20"/>
  <c r="S12" i="20" s="1"/>
  <c r="T9" i="20"/>
  <c r="T13" i="20" s="1"/>
  <c r="S22" i="20" l="1"/>
  <c r="S24" i="20" s="1"/>
  <c r="B149" i="12" s="1"/>
  <c r="S22" i="11"/>
  <c r="S24" i="11" s="1"/>
  <c r="S25" i="11" s="1"/>
  <c r="S26" i="11" s="1"/>
  <c r="S27" i="11" s="1"/>
  <c r="B150" i="12" l="1"/>
  <c r="B152" i="12" s="1"/>
  <c r="C155" i="12" s="1"/>
  <c r="B155" i="12"/>
  <c r="S25" i="20"/>
  <c r="S26" i="20" s="1"/>
  <c r="S27" i="20" s="1"/>
  <c r="D155" i="12" l="1"/>
  <c r="E155" i="12" s="1"/>
  <c r="T16" i="20" l="1"/>
  <c r="T16" i="11"/>
  <c r="F155" i="12"/>
  <c r="T6" i="20"/>
  <c r="T10" i="20" s="1"/>
  <c r="T6" i="11"/>
  <c r="T10" i="11" s="1"/>
  <c r="T11" i="20" l="1"/>
  <c r="T12" i="20" s="1"/>
  <c r="T22" i="20" s="1"/>
  <c r="U9" i="20"/>
  <c r="U13" i="20" s="1"/>
  <c r="T11" i="11"/>
  <c r="T12" i="11" s="1"/>
  <c r="T22" i="11" s="1"/>
  <c r="U9" i="11"/>
  <c r="U13" i="11" s="1"/>
  <c r="T24" i="20" l="1"/>
  <c r="T25" i="20" s="1"/>
  <c r="T26" i="20" s="1"/>
  <c r="T27" i="20" s="1"/>
  <c r="T24" i="11"/>
  <c r="B158" i="12" s="1"/>
  <c r="B159" i="12" l="1"/>
  <c r="B161" i="12" s="1"/>
  <c r="C164" i="12" s="1"/>
  <c r="B164" i="12"/>
  <c r="T25" i="11"/>
  <c r="T26" i="11" s="1"/>
  <c r="T27" i="11" s="1"/>
  <c r="D164" i="12" l="1"/>
  <c r="E164" i="12" s="1"/>
  <c r="U16" i="20" l="1"/>
  <c r="U16" i="11"/>
  <c r="U6" i="20"/>
  <c r="U10" i="20" s="1"/>
  <c r="U6" i="11"/>
  <c r="U10" i="11" s="1"/>
  <c r="F164" i="12"/>
  <c r="V9" i="11" l="1"/>
  <c r="V13" i="11" s="1"/>
  <c r="U11" i="11"/>
  <c r="U12" i="11" s="1"/>
  <c r="U22" i="11" s="1"/>
  <c r="U11" i="20"/>
  <c r="U12" i="20" s="1"/>
  <c r="U22" i="20" s="1"/>
  <c r="V9" i="20"/>
  <c r="V13" i="20" s="1"/>
  <c r="U24" i="20" l="1"/>
  <c r="U25" i="20" s="1"/>
  <c r="U26" i="20" s="1"/>
  <c r="U27" i="20" s="1"/>
  <c r="U24" i="11"/>
  <c r="B167" i="12" s="1"/>
  <c r="B173" i="12" l="1"/>
  <c r="B168" i="12"/>
  <c r="B170" i="12" s="1"/>
  <c r="C173" i="12" s="1"/>
  <c r="U25" i="11"/>
  <c r="U26" i="11" s="1"/>
  <c r="U27" i="11" s="1"/>
  <c r="D173" i="12" l="1"/>
  <c r="E173" i="12" s="1"/>
  <c r="F173" i="12" s="1"/>
  <c r="V16" i="11" l="1"/>
  <c r="V16" i="20"/>
  <c r="V6" i="20"/>
  <c r="V10" i="20" s="1"/>
  <c r="V6" i="11"/>
  <c r="V10" i="11" s="1"/>
  <c r="W9" i="11" l="1"/>
  <c r="W13" i="11" s="1"/>
  <c r="V11" i="11"/>
  <c r="V12" i="11" s="1"/>
  <c r="V22" i="11" s="1"/>
  <c r="W9" i="20"/>
  <c r="W13" i="20" s="1"/>
  <c r="V11" i="20"/>
  <c r="V12" i="20" s="1"/>
  <c r="V22" i="20" s="1"/>
  <c r="V24" i="20" l="1"/>
  <c r="V25" i="20" s="1"/>
  <c r="V26" i="20" s="1"/>
  <c r="V27" i="20" s="1"/>
  <c r="V24" i="11"/>
  <c r="B176" i="12" s="1"/>
  <c r="B177" i="12" l="1"/>
  <c r="B179" i="12" s="1"/>
  <c r="C182" i="12" s="1"/>
  <c r="B182" i="12"/>
  <c r="V25" i="11"/>
  <c r="V26" i="11" s="1"/>
  <c r="V27" i="11" s="1"/>
  <c r="D182" i="12" l="1"/>
  <c r="E182" i="12" s="1"/>
  <c r="W16" i="11" l="1"/>
  <c r="W16" i="20"/>
  <c r="W6" i="20"/>
  <c r="W10" i="20" s="1"/>
  <c r="W6" i="11"/>
  <c r="W10" i="11" s="1"/>
  <c r="F182" i="12"/>
  <c r="W11" i="11" l="1"/>
  <c r="W12" i="11" s="1"/>
  <c r="W22" i="11" s="1"/>
  <c r="X9" i="11"/>
  <c r="X13" i="11" s="1"/>
  <c r="W11" i="20"/>
  <c r="W12" i="20" s="1"/>
  <c r="W22" i="20" s="1"/>
  <c r="X9" i="20"/>
  <c r="X13" i="20" s="1"/>
  <c r="W24" i="11" l="1"/>
  <c r="B185" i="12" s="1"/>
  <c r="W24" i="20"/>
  <c r="W25" i="20" s="1"/>
  <c r="W26" i="20" s="1"/>
  <c r="W27" i="20" s="1"/>
  <c r="W25" i="11" l="1"/>
  <c r="W26" i="11" s="1"/>
  <c r="W27" i="11" s="1"/>
  <c r="B186" i="12"/>
  <c r="B188" i="12" s="1"/>
  <c r="C191" i="12" s="1"/>
  <c r="B191" i="12"/>
  <c r="D191" i="12" l="1"/>
  <c r="E191" i="12" s="1"/>
  <c r="X16" i="11" l="1"/>
  <c r="X16" i="20"/>
  <c r="X6" i="20"/>
  <c r="X10" i="20" s="1"/>
  <c r="X6" i="11"/>
  <c r="X10" i="11" s="1"/>
  <c r="F191" i="12"/>
  <c r="X11" i="11" l="1"/>
  <c r="X12" i="11" s="1"/>
  <c r="X22" i="11" s="1"/>
  <c r="Y9" i="11"/>
  <c r="Y13" i="11" s="1"/>
  <c r="X11" i="20"/>
  <c r="X12" i="20" s="1"/>
  <c r="X22" i="20" s="1"/>
  <c r="Y9" i="20"/>
  <c r="Y13" i="20" s="1"/>
  <c r="X24" i="11" l="1"/>
  <c r="B194" i="12" s="1"/>
  <c r="X24" i="20"/>
  <c r="X25" i="20" s="1"/>
  <c r="X26" i="20" s="1"/>
  <c r="X27" i="20" s="1"/>
  <c r="X25" i="11" l="1"/>
  <c r="X26" i="11" s="1"/>
  <c r="X27" i="11" s="1"/>
  <c r="B195" i="12"/>
  <c r="B197" i="12" s="1"/>
  <c r="C200" i="12" s="1"/>
  <c r="B200" i="12"/>
  <c r="D200" i="12" l="1"/>
  <c r="E200" i="12" s="1"/>
  <c r="Y16" i="20" l="1"/>
  <c r="Y16" i="11"/>
  <c r="Y6" i="20"/>
  <c r="Y10" i="20" s="1"/>
  <c r="Y6" i="11"/>
  <c r="Y10" i="11" s="1"/>
  <c r="F200" i="12"/>
  <c r="Y11" i="11" l="1"/>
  <c r="Y12" i="11" s="1"/>
  <c r="Y22" i="11" s="1"/>
  <c r="Z9" i="11"/>
  <c r="Z13" i="11" s="1"/>
  <c r="Y11" i="20"/>
  <c r="Y12" i="20" s="1"/>
  <c r="Y22" i="20" s="1"/>
  <c r="Z9" i="20"/>
  <c r="Z13" i="20" s="1"/>
  <c r="Y24" i="11" l="1"/>
  <c r="B203" i="12" s="1"/>
  <c r="Y24" i="20"/>
  <c r="Y25" i="20" s="1"/>
  <c r="Y26" i="20" s="1"/>
  <c r="Y27" i="20" s="1"/>
  <c r="Y25" i="11" l="1"/>
  <c r="Y26" i="11" s="1"/>
  <c r="Y27" i="11" s="1"/>
  <c r="B204" i="12"/>
  <c r="B206" i="12" s="1"/>
  <c r="C209" i="12" s="1"/>
  <c r="B209" i="12"/>
  <c r="D209" i="12" l="1"/>
  <c r="E209" i="12" s="1"/>
  <c r="F209" i="12" s="1"/>
  <c r="Z16" i="20" l="1"/>
  <c r="Z16" i="11"/>
  <c r="Z6" i="20"/>
  <c r="Z10" i="20" s="1"/>
  <c r="Z6" i="11"/>
  <c r="Z10" i="11" s="1"/>
  <c r="Z11" i="20" l="1"/>
  <c r="Z12" i="20" s="1"/>
  <c r="Z22" i="20" s="1"/>
  <c r="AA9" i="20"/>
  <c r="AA13" i="20" s="1"/>
  <c r="Z11" i="11"/>
  <c r="Z12" i="11" s="1"/>
  <c r="Z22" i="11" s="1"/>
  <c r="AA9" i="11"/>
  <c r="AA13" i="11" s="1"/>
  <c r="Z24" i="20" l="1"/>
  <c r="Z25" i="20" s="1"/>
  <c r="Z26" i="20" s="1"/>
  <c r="Z27" i="20" s="1"/>
  <c r="Z24" i="11"/>
  <c r="B212" i="12" s="1"/>
  <c r="B213" i="12" l="1"/>
  <c r="B215" i="12" s="1"/>
  <c r="C218" i="12" s="1"/>
  <c r="B218" i="12"/>
  <c r="Z25" i="11"/>
  <c r="Z26" i="11" s="1"/>
  <c r="Z27" i="11" s="1"/>
  <c r="D218" i="12" l="1"/>
  <c r="E218" i="12" s="1"/>
  <c r="AA16" i="20" l="1"/>
  <c r="AA16" i="11"/>
  <c r="F218" i="12"/>
  <c r="AA6" i="11"/>
  <c r="AA10" i="11" s="1"/>
  <c r="AA6" i="20"/>
  <c r="AA10" i="20" s="1"/>
  <c r="AA11" i="11" l="1"/>
  <c r="AA12" i="11" s="1"/>
  <c r="AA22" i="11" s="1"/>
  <c r="AB9" i="11"/>
  <c r="AB13" i="11" s="1"/>
  <c r="AA11" i="20"/>
  <c r="AA12" i="20" s="1"/>
  <c r="AA22" i="20" s="1"/>
  <c r="AB9" i="20"/>
  <c r="AB13" i="20" s="1"/>
  <c r="AA24" i="20" l="1"/>
  <c r="AA25" i="20" s="1"/>
  <c r="AA26" i="20" s="1"/>
  <c r="AA27" i="20" s="1"/>
  <c r="AA24" i="11"/>
  <c r="B221" i="12" s="1"/>
  <c r="AA25" i="11" l="1"/>
  <c r="AA26" i="11" s="1"/>
  <c r="AA27" i="11" s="1"/>
  <c r="B227" i="12"/>
  <c r="B222" i="12"/>
  <c r="B224" i="12" s="1"/>
  <c r="C227" i="12" s="1"/>
  <c r="D227" i="12" l="1"/>
  <c r="AB6" i="20" l="1"/>
  <c r="AB10" i="20" s="1"/>
  <c r="AB6" i="11"/>
  <c r="AB10" i="11" s="1"/>
  <c r="E227" i="12"/>
  <c r="AB16" i="11" l="1"/>
  <c r="AB16" i="20"/>
  <c r="F227" i="12"/>
  <c r="AB11" i="11"/>
  <c r="AB12" i="11" s="1"/>
  <c r="AB11" i="20"/>
  <c r="AB12" i="20" s="1"/>
  <c r="AB22" i="11" l="1"/>
  <c r="AB24" i="11" s="1"/>
  <c r="AB25" i="11" s="1"/>
  <c r="AB22" i="20"/>
  <c r="AB24" i="20" s="1"/>
  <c r="AB25" i="20" s="1"/>
  <c r="AB26" i="20" l="1"/>
  <c r="AB27" i="20" s="1"/>
  <c r="C30" i="20"/>
  <c r="C29" i="20"/>
  <c r="AB26" i="11"/>
  <c r="AB27" i="11" s="1"/>
  <c r="C30" i="11"/>
  <c r="H7" i="1" s="1"/>
  <c r="C29" i="11"/>
  <c r="G7" i="1" s="1"/>
</calcChain>
</file>

<file path=xl/sharedStrings.xml><?xml version="1.0" encoding="utf-8"?>
<sst xmlns="http://schemas.openxmlformats.org/spreadsheetml/2006/main" count="1032" uniqueCount="198">
  <si>
    <t>nudo</t>
  </si>
  <si>
    <t>potencia [$/kW/mes]</t>
  </si>
  <si>
    <t>energía [$/kWh]</t>
  </si>
  <si>
    <t>generación FV anual [kWh/año]</t>
  </si>
  <si>
    <t>ingreso anual  potencia</t>
  </si>
  <si>
    <t>ingreso anual energía</t>
  </si>
  <si>
    <t>ingreso total</t>
  </si>
  <si>
    <t>INGRESO TOTAL UF</t>
  </si>
  <si>
    <t>ingreso año 3</t>
  </si>
  <si>
    <t>quillota 220</t>
  </si>
  <si>
    <t xml:space="preserve">UF </t>
  </si>
  <si>
    <t>(29/06/20)</t>
  </si>
  <si>
    <t>Quillota 220</t>
  </si>
  <si>
    <t>Implementos oficina</t>
  </si>
  <si>
    <t>Cantidad</t>
  </si>
  <si>
    <t>Costo unitario</t>
  </si>
  <si>
    <t>Costo Total</t>
  </si>
  <si>
    <t>costo UF</t>
  </si>
  <si>
    <t>valor dólar (29/06/20)</t>
  </si>
  <si>
    <t>valor UF (29/06/20)</t>
  </si>
  <si>
    <t>INVERSIÓN TOTAL US$</t>
  </si>
  <si>
    <t>INVERSIÓN TOTAL $</t>
  </si>
  <si>
    <t>INVERSIÓN TOTAL UF</t>
  </si>
  <si>
    <t>Escritorio AGM</t>
  </si>
  <si>
    <t>Silla para PC one sit</t>
  </si>
  <si>
    <t>Librero 2 repisas Tvilum</t>
  </si>
  <si>
    <t>Notebook HP 15,6”</t>
  </si>
  <si>
    <t>Impresora multifuncional HP PRO 8720</t>
  </si>
  <si>
    <t>TOTAL</t>
  </si>
  <si>
    <t>valor panel UF</t>
  </si>
  <si>
    <t>costo inversión x string</t>
  </si>
  <si>
    <t>insumo</t>
  </si>
  <si>
    <t>cantidad</t>
  </si>
  <si>
    <t>costo unitario</t>
  </si>
  <si>
    <t>costo total</t>
  </si>
  <si>
    <t>TOTAL UF</t>
  </si>
  <si>
    <t>cantidad strings</t>
  </si>
  <si>
    <t>panel solar</t>
  </si>
  <si>
    <t>estructura</t>
  </si>
  <si>
    <t>cable solar</t>
  </si>
  <si>
    <t>conector mc4</t>
  </si>
  <si>
    <t>inversor UF</t>
  </si>
  <si>
    <t>panel UF</t>
  </si>
  <si>
    <t>inversor</t>
  </si>
  <si>
    <t>container</t>
  </si>
  <si>
    <t>INVERSIÓN TOTAL STRINGS UF</t>
  </si>
  <si>
    <t>otros activos</t>
  </si>
  <si>
    <t>valor $</t>
  </si>
  <si>
    <t>valor UF</t>
  </si>
  <si>
    <t>terreno (2 Ha)</t>
  </si>
  <si>
    <t>mitsubishi L200</t>
  </si>
  <si>
    <t>RESUMEN INVERSIÓN EN ACTIVOS</t>
  </si>
  <si>
    <t>AÑO</t>
  </si>
  <si>
    <t>depreciación acelerada de activos</t>
  </si>
  <si>
    <t>activo</t>
  </si>
  <si>
    <t>T / años</t>
  </si>
  <si>
    <t>Impresora multifuncional HP</t>
  </si>
  <si>
    <t>camioneta</t>
  </si>
  <si>
    <t>cargo</t>
  </si>
  <si>
    <t>n°</t>
  </si>
  <si>
    <t>sueldo mensual</t>
  </si>
  <si>
    <t>sueldo anual</t>
  </si>
  <si>
    <t>sueldo anual UF</t>
  </si>
  <si>
    <t>valor UTM</t>
  </si>
  <si>
    <t>ing. (e) gestión industrial</t>
  </si>
  <si>
    <t>ingeniero civil eléctrico</t>
  </si>
  <si>
    <t>gastos const. sociedad</t>
  </si>
  <si>
    <t>CL$</t>
  </si>
  <si>
    <t>UF</t>
  </si>
  <si>
    <t>notaria</t>
  </si>
  <si>
    <t>ing. mant. industrial</t>
  </si>
  <si>
    <t>diario oficial</t>
  </si>
  <si>
    <t>técnico eléctrico</t>
  </si>
  <si>
    <t>inscripción comercio</t>
  </si>
  <si>
    <t>operadores</t>
  </si>
  <si>
    <t>impresión y timbraje</t>
  </si>
  <si>
    <t>ayudantes mantención</t>
  </si>
  <si>
    <t>registro marca (3 UTM)</t>
  </si>
  <si>
    <t>otros</t>
  </si>
  <si>
    <t>abogado</t>
  </si>
  <si>
    <t>contador</t>
  </si>
  <si>
    <t>gastos gestión terreno</t>
  </si>
  <si>
    <t>estudio terreno</t>
  </si>
  <si>
    <t>notaría</t>
  </si>
  <si>
    <t>GASTOS FIJOS</t>
  </si>
  <si>
    <t>mensual</t>
  </si>
  <si>
    <t>anual</t>
  </si>
  <si>
    <t>anual UF</t>
  </si>
  <si>
    <t>conservador</t>
  </si>
  <si>
    <t>energía eléctrica</t>
  </si>
  <si>
    <t>agua</t>
  </si>
  <si>
    <t>internet</t>
  </si>
  <si>
    <t>teléfono</t>
  </si>
  <si>
    <t>arriendo oficina</t>
  </si>
  <si>
    <t>Tipo de gasto</t>
  </si>
  <si>
    <t>bencina/diesel</t>
  </si>
  <si>
    <t>mes de garantía oficina</t>
  </si>
  <si>
    <t>const. sociedad</t>
  </si>
  <si>
    <t>gestión terreno</t>
  </si>
  <si>
    <t>$ p/pers.</t>
  </si>
  <si>
    <t>Gastos Pta. en Marcha</t>
  </si>
  <si>
    <t>gastos capacitación</t>
  </si>
  <si>
    <t>EGRESOS AÑO 1</t>
  </si>
  <si>
    <t>EGRESOS AÑO 2</t>
  </si>
  <si>
    <t>EGRESOS AÑO 3 - 25</t>
  </si>
  <si>
    <t>gastos fijos</t>
  </si>
  <si>
    <t>+</t>
  </si>
  <si>
    <t>ingresos</t>
  </si>
  <si>
    <t>-</t>
  </si>
  <si>
    <t>costos</t>
  </si>
  <si>
    <t>=</t>
  </si>
  <si>
    <t>utilidad</t>
  </si>
  <si>
    <t>intereses LP</t>
  </si>
  <si>
    <t>intereses CP</t>
  </si>
  <si>
    <t>depreciación</t>
  </si>
  <si>
    <t>-/+</t>
  </si>
  <si>
    <t>dif x vta act VL</t>
  </si>
  <si>
    <t>pérd ejerc ant</t>
  </si>
  <si>
    <t>util ant de impto</t>
  </si>
  <si>
    <t>impto 27%</t>
  </si>
  <si>
    <t>util desp impto</t>
  </si>
  <si>
    <t>amortiz LP</t>
  </si>
  <si>
    <t>amortiz CP</t>
  </si>
  <si>
    <t>vta act VL</t>
  </si>
  <si>
    <t>capital de trabajo</t>
  </si>
  <si>
    <t>pta en marcha</t>
  </si>
  <si>
    <t>inversión en activos</t>
  </si>
  <si>
    <t xml:space="preserve"> </t>
  </si>
  <si>
    <t>imprevistos</t>
  </si>
  <si>
    <t>total anual</t>
  </si>
  <si>
    <t>crédito LP</t>
  </si>
  <si>
    <t>crédito CP</t>
  </si>
  <si>
    <t>flujo neto</t>
  </si>
  <si>
    <t>flujo neto actualizado</t>
  </si>
  <si>
    <t>flujo neto acumulado</t>
  </si>
  <si>
    <t>VAN (UF)</t>
  </si>
  <si>
    <t>COSTOS</t>
  </si>
  <si>
    <t>VAR%</t>
  </si>
  <si>
    <t>VAN</t>
  </si>
  <si>
    <t>TIR</t>
  </si>
  <si>
    <t>PRI</t>
  </si>
  <si>
    <t>25 años</t>
  </si>
  <si>
    <t>---</t>
  </si>
  <si>
    <t>COSTOS AÑO 1</t>
  </si>
  <si>
    <t>COSTOS AÑO 2</t>
  </si>
  <si>
    <t>COSTOS AÑO 3 - 25</t>
  </si>
  <si>
    <t>inversion activos</t>
  </si>
  <si>
    <t>costos AÑO 3</t>
  </si>
  <si>
    <t>INV. ACTIVOS</t>
  </si>
  <si>
    <t>INGRESO AÑO 3</t>
  </si>
  <si>
    <t>INGRESO AÑO 4 - 25</t>
  </si>
  <si>
    <t>inv act</t>
  </si>
  <si>
    <t>INGRESOS</t>
  </si>
  <si>
    <t>23 años</t>
  </si>
  <si>
    <t>año</t>
  </si>
  <si>
    <t>ingreso</t>
  </si>
  <si>
    <t>egreso</t>
  </si>
  <si>
    <t>saldo</t>
  </si>
  <si>
    <t>saldo acum.</t>
  </si>
  <si>
    <t>MES</t>
  </si>
  <si>
    <t>Capital de Trabajo Total</t>
  </si>
  <si>
    <t>EGRESOS AÑO 2 - 25</t>
  </si>
  <si>
    <t>valor crédito</t>
  </si>
  <si>
    <t>período</t>
  </si>
  <si>
    <t>tasa</t>
  </si>
  <si>
    <t>interés</t>
  </si>
  <si>
    <t>amortización</t>
  </si>
  <si>
    <t>periodos</t>
  </si>
  <si>
    <t>cuota</t>
  </si>
  <si>
    <t>periodo</t>
  </si>
  <si>
    <t>saldo inicial</t>
  </si>
  <si>
    <t>saldo final</t>
  </si>
  <si>
    <t>amortizaciones corto plazo</t>
  </si>
  <si>
    <t>CRÉDITO CORTO PLAZO</t>
  </si>
  <si>
    <t>Pmáx.</t>
  </si>
  <si>
    <t>Wp</t>
  </si>
  <si>
    <t>% Financiamiento</t>
  </si>
  <si>
    <t>Rf</t>
  </si>
  <si>
    <t>β</t>
  </si>
  <si>
    <t>Rm</t>
  </si>
  <si>
    <t>Tensión Pmáx.</t>
  </si>
  <si>
    <t>V</t>
  </si>
  <si>
    <t>Corriente Pmáx</t>
  </si>
  <si>
    <t>A</t>
  </si>
  <si>
    <t>Ri</t>
  </si>
  <si>
    <t>Tension circuito abierto</t>
  </si>
  <si>
    <t>Corriente cortocircuito</t>
  </si>
  <si>
    <t>tasa dscto.</t>
  </si>
  <si>
    <t>NUDO</t>
  </si>
  <si>
    <t>POTENCIA ($/kW/mes)</t>
  </si>
  <si>
    <t>ENERGÍA ($/kWh)</t>
  </si>
  <si>
    <t>Cardones 220</t>
  </si>
  <si>
    <t>Maitencillo 220</t>
  </si>
  <si>
    <t>Punta Colorada 220</t>
  </si>
  <si>
    <t>Pan de Azúcar 220</t>
  </si>
  <si>
    <t>Los Vilos 220</t>
  </si>
  <si>
    <t>Nogales 220</t>
  </si>
  <si>
    <t>Polpaico 220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</si>
</sst>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8" formatCode="&quot;$&quot;#,##0.00;[Red]&quot;$&quot;\-#,##0.00"/>
    <numFmt numFmtId="164" formatCode="&quot;$&quot;\ #,##0;[Red]\-&quot;$&quot;\ #,##0"/>
    <numFmt numFmtId="165" formatCode="&quot;$&quot;\ #,##0.00;[Red]\-&quot;$&quot;\ #,##0.00"/>
    <numFmt numFmtId="166" formatCode="_-&quot;$&quot;\ * #,##0.00_-;\-&quot;$&quot;\ * #,##0.00_-;_-&quot;$&quot;\ * &quot;-&quot;??_-;_-@_-"/>
    <numFmt numFmtId="167" formatCode="&quot;$&quot;\ #,##0.00"/>
    <numFmt numFmtId="168" formatCode="#,##0.00_ ;[Red]\-#,##0.00\ "/>
    <numFmt numFmtId="169" formatCode="&quot;$&quot;\ #,##0"/>
    <numFmt numFmtId="170" formatCode="#,##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7">
    <xf numFmtId="0" fontId="0" fillId="0" borderId="0" xfId="0"/>
    <xf numFmtId="0" fontId="0" fillId="0" borderId="0" xfId="0" applyFont="1"/>
    <xf numFmtId="164" fontId="0" fillId="0" borderId="0" xfId="0" applyNumberFormat="1"/>
    <xf numFmtId="4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65" fontId="0" fillId="0" borderId="0" xfId="0" applyNumberFormat="1"/>
    <xf numFmtId="167" fontId="0" fillId="0" borderId="0" xfId="0" applyNumberFormat="1"/>
    <xf numFmtId="2" fontId="0" fillId="0" borderId="0" xfId="0" applyNumberFormat="1"/>
    <xf numFmtId="168" fontId="0" fillId="0" borderId="0" xfId="0" applyNumberFormat="1"/>
    <xf numFmtId="166" fontId="0" fillId="0" borderId="0" xfId="1" applyFont="1"/>
    <xf numFmtId="9" fontId="0" fillId="0" borderId="0" xfId="2" applyFont="1"/>
    <xf numFmtId="0" fontId="0" fillId="3" borderId="1" xfId="0" applyFill="1" applyBorder="1"/>
    <xf numFmtId="0" fontId="0" fillId="0" borderId="1" xfId="0" applyFont="1" applyBorder="1" applyAlignment="1">
      <alignment horizontal="justify" vertical="center" wrapText="1"/>
    </xf>
    <xf numFmtId="2" fontId="0" fillId="0" borderId="1" xfId="0" applyNumberFormat="1" applyBorder="1"/>
    <xf numFmtId="0" fontId="0" fillId="0" borderId="1" xfId="0" applyBorder="1"/>
    <xf numFmtId="4" fontId="0" fillId="0" borderId="1" xfId="0" applyNumberFormat="1" applyBorder="1"/>
    <xf numFmtId="0" fontId="0" fillId="2" borderId="1" xfId="0" applyFill="1" applyBorder="1"/>
    <xf numFmtId="4" fontId="0" fillId="2" borderId="1" xfId="0" applyNumberFormat="1" applyFill="1" applyBorder="1"/>
    <xf numFmtId="164" fontId="0" fillId="2" borderId="1" xfId="0" applyNumberFormat="1" applyFill="1" applyBorder="1"/>
    <xf numFmtId="2" fontId="0" fillId="2" borderId="1" xfId="0" applyNumberFormat="1" applyFill="1" applyBorder="1"/>
    <xf numFmtId="164" fontId="0" fillId="0" borderId="1" xfId="0" applyNumberFormat="1" applyBorder="1"/>
    <xf numFmtId="0" fontId="0" fillId="3" borderId="1" xfId="0" applyFill="1" applyBorder="1" applyAlignment="1">
      <alignment wrapText="1"/>
    </xf>
    <xf numFmtId="165" fontId="0" fillId="2" borderId="1" xfId="0" applyNumberFormat="1" applyFill="1" applyBorder="1"/>
    <xf numFmtId="164" fontId="0" fillId="2" borderId="1" xfId="1" applyNumberFormat="1" applyFont="1" applyFill="1" applyBorder="1"/>
    <xf numFmtId="168" fontId="0" fillId="0" borderId="1" xfId="0" applyNumberFormat="1" applyBorder="1"/>
    <xf numFmtId="168" fontId="0" fillId="2" borderId="1" xfId="0" applyNumberFormat="1" applyFill="1" applyBorder="1"/>
    <xf numFmtId="169" fontId="0" fillId="0" borderId="1" xfId="0" applyNumberFormat="1" applyBorder="1"/>
    <xf numFmtId="169" fontId="0" fillId="2" borderId="1" xfId="0" applyNumberFormat="1" applyFill="1" applyBorder="1"/>
    <xf numFmtId="0" fontId="0" fillId="3" borderId="1" xfId="0" applyFill="1" applyBorder="1" applyAlignment="1">
      <alignment horizontal="center" wrapText="1"/>
    </xf>
    <xf numFmtId="164" fontId="0" fillId="3" borderId="1" xfId="0" applyNumberFormat="1" applyFill="1" applyBorder="1" applyAlignment="1">
      <alignment horizontal="center" wrapText="1"/>
    </xf>
    <xf numFmtId="165" fontId="0" fillId="3" borderId="1" xfId="0" applyNumberForma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 wrapText="1"/>
    </xf>
    <xf numFmtId="2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4" fontId="0" fillId="0" borderId="1" xfId="0" applyNumberFormat="1" applyBorder="1" applyAlignment="1">
      <alignment horizontal="right" vertical="center"/>
    </xf>
    <xf numFmtId="4" fontId="0" fillId="2" borderId="1" xfId="0" applyNumberFormat="1" applyFill="1" applyBorder="1" applyAlignment="1">
      <alignment horizontal="right" vertical="center"/>
    </xf>
    <xf numFmtId="0" fontId="0" fillId="0" borderId="1" xfId="0" applyFont="1" applyBorder="1"/>
    <xf numFmtId="40" fontId="0" fillId="0" borderId="1" xfId="0" applyNumberFormat="1" applyBorder="1"/>
    <xf numFmtId="40" fontId="0" fillId="2" borderId="1" xfId="0" applyNumberFormat="1" applyFill="1" applyBorder="1"/>
    <xf numFmtId="0" fontId="0" fillId="0" borderId="1" xfId="0" quotePrefix="1" applyFont="1" applyBorder="1"/>
    <xf numFmtId="0" fontId="0" fillId="0" borderId="1" xfId="0" applyFill="1" applyBorder="1"/>
    <xf numFmtId="9" fontId="0" fillId="0" borderId="1" xfId="0" applyNumberFormat="1" applyBorder="1"/>
    <xf numFmtId="0" fontId="0" fillId="0" borderId="1" xfId="0" applyBorder="1" applyAlignment="1">
      <alignment horizontal="center" vertical="center"/>
    </xf>
    <xf numFmtId="3" fontId="0" fillId="0" borderId="1" xfId="0" applyNumberFormat="1" applyBorder="1"/>
    <xf numFmtId="9" fontId="0" fillId="2" borderId="1" xfId="0" applyNumberFormat="1" applyFill="1" applyBorder="1"/>
    <xf numFmtId="0" fontId="0" fillId="0" borderId="1" xfId="0" applyBorder="1" applyAlignment="1">
      <alignment horizontal="center"/>
    </xf>
    <xf numFmtId="10" fontId="0" fillId="0" borderId="1" xfId="0" applyNumberFormat="1" applyBorder="1"/>
    <xf numFmtId="168" fontId="0" fillId="4" borderId="1" xfId="0" applyNumberFormat="1" applyFill="1" applyBorder="1"/>
    <xf numFmtId="2" fontId="0" fillId="0" borderId="0" xfId="0" applyNumberFormat="1" applyBorder="1" applyAlignment="1">
      <alignment horizontal="right" vertical="center"/>
    </xf>
    <xf numFmtId="168" fontId="0" fillId="4" borderId="1" xfId="0" applyNumberFormat="1" applyFill="1" applyBorder="1" applyAlignment="1">
      <alignment horizontal="right" vertical="center"/>
    </xf>
    <xf numFmtId="164" fontId="0" fillId="0" borderId="1" xfId="0" applyNumberFormat="1" applyFont="1" applyBorder="1" applyAlignment="1">
      <alignment horizontal="right" vertical="center" wrapText="1"/>
    </xf>
    <xf numFmtId="164" fontId="0" fillId="0" borderId="1" xfId="0" applyNumberFormat="1" applyBorder="1" applyAlignment="1">
      <alignment vertical="center"/>
    </xf>
    <xf numFmtId="2" fontId="0" fillId="0" borderId="1" xfId="0" applyNumberFormat="1" applyBorder="1" applyAlignment="1">
      <alignment vertical="center"/>
    </xf>
    <xf numFmtId="164" fontId="0" fillId="2" borderId="1" xfId="0" applyNumberFormat="1" applyFill="1" applyBorder="1" applyAlignment="1">
      <alignment vertical="center"/>
    </xf>
    <xf numFmtId="2" fontId="0" fillId="2" borderId="1" xfId="0" applyNumberFormat="1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4" fontId="2" fillId="3" borderId="1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" fontId="0" fillId="0" borderId="0" xfId="0" applyNumberFormat="1" applyBorder="1"/>
    <xf numFmtId="168" fontId="0" fillId="0" borderId="0" xfId="0" applyNumberFormat="1" applyBorder="1"/>
    <xf numFmtId="0" fontId="0" fillId="0" borderId="4" xfId="0" applyBorder="1" applyAlignment="1">
      <alignment horizontal="center"/>
    </xf>
    <xf numFmtId="4" fontId="0" fillId="0" borderId="4" xfId="0" applyNumberFormat="1" applyBorder="1"/>
    <xf numFmtId="168" fontId="0" fillId="0" borderId="4" xfId="0" applyNumberFormat="1" applyBorder="1"/>
    <xf numFmtId="0" fontId="0" fillId="0" borderId="0" xfId="0" applyBorder="1"/>
    <xf numFmtId="0" fontId="0" fillId="0" borderId="0" xfId="0" applyFill="1" applyBorder="1"/>
    <xf numFmtId="0" fontId="0" fillId="3" borderId="1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168" fontId="0" fillId="0" borderId="0" xfId="0" applyNumberFormat="1" applyFill="1" applyBorder="1"/>
    <xf numFmtId="164" fontId="0" fillId="0" borderId="1" xfId="0" applyNumberFormat="1" applyFill="1" applyBorder="1"/>
    <xf numFmtId="0" fontId="0" fillId="0" borderId="0" xfId="0" applyFill="1" applyBorder="1" applyAlignment="1"/>
    <xf numFmtId="0" fontId="0" fillId="0" borderId="0" xfId="0" applyFill="1"/>
    <xf numFmtId="0" fontId="0" fillId="2" borderId="3" xfId="0" applyFill="1" applyBorder="1"/>
    <xf numFmtId="2" fontId="0" fillId="0" borderId="0" xfId="0" applyNumberFormat="1" applyFill="1" applyBorder="1" applyAlignment="1">
      <alignment horizontal="right" vertical="center"/>
    </xf>
    <xf numFmtId="0" fontId="0" fillId="0" borderId="5" xfId="0" applyBorder="1"/>
    <xf numFmtId="0" fontId="0" fillId="0" borderId="5" xfId="0" applyBorder="1" applyAlignment="1">
      <alignment horizontal="right" vertical="center"/>
    </xf>
    <xf numFmtId="0" fontId="0" fillId="0" borderId="5" xfId="0" applyFill="1" applyBorder="1" applyAlignment="1">
      <alignment horizontal="center"/>
    </xf>
    <xf numFmtId="0" fontId="0" fillId="0" borderId="5" xfId="0" applyFill="1" applyBorder="1" applyAlignment="1">
      <alignment horizontal="right" vertical="center"/>
    </xf>
    <xf numFmtId="0" fontId="0" fillId="0" borderId="5" xfId="0" applyFill="1" applyBorder="1"/>
    <xf numFmtId="4" fontId="0" fillId="0" borderId="5" xfId="0" applyNumberFormat="1" applyFill="1" applyBorder="1" applyAlignment="1">
      <alignment horizontal="right" vertical="center"/>
    </xf>
    <xf numFmtId="168" fontId="0" fillId="0" borderId="1" xfId="0" applyNumberFormat="1" applyBorder="1" applyAlignment="1">
      <alignment horizontal="right" vertical="center"/>
    </xf>
    <xf numFmtId="0" fontId="0" fillId="0" borderId="1" xfId="0" applyFont="1" applyBorder="1" applyAlignment="1">
      <alignment horizontal="right" vertical="center"/>
    </xf>
    <xf numFmtId="165" fontId="0" fillId="2" borderId="1" xfId="0" applyNumberFormat="1" applyFill="1" applyBorder="1" applyAlignment="1">
      <alignment horizontal="right"/>
    </xf>
    <xf numFmtId="168" fontId="0" fillId="2" borderId="1" xfId="0" applyNumberFormat="1" applyFill="1" applyBorder="1" applyAlignment="1">
      <alignment horizontal="right"/>
    </xf>
    <xf numFmtId="0" fontId="3" fillId="0" borderId="0" xfId="0" applyFont="1"/>
    <xf numFmtId="0" fontId="0" fillId="3" borderId="2" xfId="0" applyFill="1" applyBorder="1" applyAlignment="1"/>
    <xf numFmtId="168" fontId="0" fillId="0" borderId="5" xfId="0" applyNumberFormat="1" applyFill="1" applyBorder="1"/>
    <xf numFmtId="168" fontId="0" fillId="2" borderId="1" xfId="0" applyNumberFormat="1" applyFill="1" applyBorder="1" applyAlignment="1">
      <alignment horizontal="right" vertical="center"/>
    </xf>
    <xf numFmtId="9" fontId="0" fillId="2" borderId="1" xfId="0" applyNumberForma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3" borderId="0" xfId="0" applyFill="1" applyBorder="1" applyAlignment="1"/>
    <xf numFmtId="10" fontId="0" fillId="0" borderId="1" xfId="0" applyNumberFormat="1" applyBorder="1" applyAlignment="1">
      <alignment horizontal="right"/>
    </xf>
    <xf numFmtId="4" fontId="0" fillId="0" borderId="1" xfId="0" applyNumberFormat="1" applyBorder="1" applyAlignment="1">
      <alignment horizontal="right"/>
    </xf>
    <xf numFmtId="9" fontId="0" fillId="0" borderId="1" xfId="0" applyNumberFormat="1" applyBorder="1" applyAlignment="1">
      <alignment horizontal="right"/>
    </xf>
    <xf numFmtId="168" fontId="3" fillId="0" borderId="1" xfId="0" applyNumberFormat="1" applyFont="1" applyBorder="1" applyAlignment="1">
      <alignment horizontal="right"/>
    </xf>
    <xf numFmtId="9" fontId="3" fillId="0" borderId="1" xfId="0" applyNumberFormat="1" applyFont="1" applyBorder="1" applyAlignment="1">
      <alignment horizontal="right"/>
    </xf>
    <xf numFmtId="10" fontId="3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center" vertical="center"/>
    </xf>
    <xf numFmtId="0" fontId="0" fillId="2" borderId="1" xfId="0" quotePrefix="1" applyFill="1" applyBorder="1" applyAlignment="1">
      <alignment horizontal="right"/>
    </xf>
    <xf numFmtId="0" fontId="0" fillId="2" borderId="1" xfId="0" quotePrefix="1" applyFill="1" applyBorder="1" applyAlignment="1">
      <alignment horizontal="right" vertical="center"/>
    </xf>
    <xf numFmtId="0" fontId="0" fillId="0" borderId="1" xfId="0" quotePrefix="1" applyBorder="1" applyAlignment="1">
      <alignment horizontal="center"/>
    </xf>
    <xf numFmtId="0" fontId="0" fillId="2" borderId="1" xfId="0" applyFill="1" applyBorder="1" applyAlignment="1">
      <alignment horizontal="center"/>
    </xf>
    <xf numFmtId="8" fontId="0" fillId="0" borderId="1" xfId="0" applyNumberFormat="1" applyBorder="1"/>
    <xf numFmtId="40" fontId="0" fillId="0" borderId="0" xfId="0" applyNumberFormat="1" applyFill="1" applyBorder="1"/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10" fontId="0" fillId="0" borderId="0" xfId="0" applyNumberFormat="1" applyBorder="1"/>
    <xf numFmtId="10" fontId="0" fillId="0" borderId="1" xfId="0" applyNumberFormat="1" applyFill="1" applyBorder="1" applyAlignment="1">
      <alignment horizontal="center"/>
    </xf>
    <xf numFmtId="10" fontId="0" fillId="0" borderId="1" xfId="0" applyNumberFormat="1" applyFont="1" applyBorder="1" applyAlignment="1">
      <alignment horizontal="right"/>
    </xf>
    <xf numFmtId="0" fontId="0" fillId="0" borderId="10" xfId="0" applyBorder="1"/>
    <xf numFmtId="0" fontId="0" fillId="5" borderId="7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170" fontId="0" fillId="0" borderId="11" xfId="0" applyNumberFormat="1" applyBorder="1" applyAlignment="1">
      <alignment horizontal="right"/>
    </xf>
    <xf numFmtId="168" fontId="0" fillId="0" borderId="1" xfId="0" applyNumberFormat="1" applyBorder="1" applyAlignment="1">
      <alignment horizontal="right"/>
    </xf>
    <xf numFmtId="14" fontId="0" fillId="0" borderId="0" xfId="0" applyNumberFormat="1"/>
    <xf numFmtId="0" fontId="0" fillId="3" borderId="0" xfId="0" applyFill="1" applyBorder="1"/>
    <xf numFmtId="0" fontId="0" fillId="3" borderId="0" xfId="0" applyFill="1"/>
    <xf numFmtId="0" fontId="0" fillId="3" borderId="1" xfId="0" applyFill="1" applyBorder="1" applyAlignment="1"/>
    <xf numFmtId="168" fontId="0" fillId="0" borderId="0" xfId="0" applyNumberFormat="1" applyBorder="1" applyAlignment="1">
      <alignment horizontal="right"/>
    </xf>
    <xf numFmtId="10" fontId="0" fillId="0" borderId="0" xfId="0" applyNumberFormat="1" applyBorder="1" applyAlignment="1">
      <alignment horizontal="right"/>
    </xf>
    <xf numFmtId="9" fontId="0" fillId="0" borderId="0" xfId="0" applyNumberFormat="1" applyBorder="1" applyAlignment="1">
      <alignment horizontal="right"/>
    </xf>
    <xf numFmtId="168" fontId="0" fillId="0" borderId="4" xfId="0" applyNumberFormat="1" applyBorder="1" applyAlignment="1">
      <alignment horizontal="right"/>
    </xf>
    <xf numFmtId="10" fontId="0" fillId="0" borderId="4" xfId="0" applyNumberFormat="1" applyBorder="1" applyAlignment="1">
      <alignment horizontal="right"/>
    </xf>
    <xf numFmtId="9" fontId="0" fillId="0" borderId="4" xfId="0" applyNumberFormat="1" applyBorder="1" applyAlignment="1">
      <alignment horizontal="right"/>
    </xf>
    <xf numFmtId="0" fontId="0" fillId="0" borderId="4" xfId="0" applyBorder="1" applyAlignment="1">
      <alignment horizontal="center" vertical="center"/>
    </xf>
    <xf numFmtId="10" fontId="0" fillId="0" borderId="4" xfId="0" applyNumberFormat="1" applyFont="1" applyBorder="1" applyAlignment="1">
      <alignment horizontal="right"/>
    </xf>
    <xf numFmtId="0" fontId="0" fillId="0" borderId="0" xfId="0" applyNumberFormat="1"/>
    <xf numFmtId="0" fontId="0" fillId="0" borderId="1" xfId="0" applyFill="1" applyBorder="1" applyAlignment="1"/>
    <xf numFmtId="169" fontId="0" fillId="0" borderId="1" xfId="1" applyNumberFormat="1" applyFont="1" applyFill="1" applyBorder="1"/>
    <xf numFmtId="4" fontId="4" fillId="2" borderId="1" xfId="0" applyNumberFormat="1" applyFont="1" applyFill="1" applyBorder="1" applyAlignment="1">
      <alignment horizontal="right" vertical="center"/>
    </xf>
    <xf numFmtId="168" fontId="0" fillId="2" borderId="1" xfId="0" applyNumberFormat="1" applyFill="1" applyBorder="1" applyAlignment="1"/>
    <xf numFmtId="168" fontId="0" fillId="0" borderId="0" xfId="0" applyNumberFormat="1" applyFill="1" applyBorder="1" applyAlignment="1">
      <alignment horizontal="right"/>
    </xf>
    <xf numFmtId="10" fontId="0" fillId="0" borderId="0" xfId="0" applyNumberFormat="1" applyFill="1" applyBorder="1" applyAlignment="1">
      <alignment horizontal="right"/>
    </xf>
    <xf numFmtId="4" fontId="0" fillId="0" borderId="0" xfId="0" applyNumberFormat="1" applyFill="1" applyBorder="1" applyAlignment="1">
      <alignment horizontal="right"/>
    </xf>
    <xf numFmtId="9" fontId="0" fillId="0" borderId="0" xfId="0" applyNumberFormat="1" applyFill="1" applyBorder="1" applyAlignment="1">
      <alignment horizontal="right"/>
    </xf>
    <xf numFmtId="168" fontId="3" fillId="0" borderId="0" xfId="0" applyNumberFormat="1" applyFont="1" applyFill="1" applyBorder="1" applyAlignment="1">
      <alignment horizontal="right"/>
    </xf>
    <xf numFmtId="10" fontId="3" fillId="0" borderId="0" xfId="0" applyNumberFormat="1" applyFont="1" applyFill="1" applyBorder="1" applyAlignment="1">
      <alignment horizontal="right"/>
    </xf>
    <xf numFmtId="9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0" fontId="0" fillId="0" borderId="0" xfId="0" applyNumberFormat="1" applyFont="1" applyFill="1" applyBorder="1" applyAlignment="1">
      <alignment horizontal="right"/>
    </xf>
    <xf numFmtId="4" fontId="0" fillId="0" borderId="0" xfId="0" applyNumberFormat="1" applyBorder="1" applyAlignment="1">
      <alignment horizontal="right"/>
    </xf>
    <xf numFmtId="170" fontId="0" fillId="0" borderId="0" xfId="0" applyNumberFormat="1" applyBorder="1" applyAlignment="1">
      <alignment horizontal="right"/>
    </xf>
    <xf numFmtId="17" fontId="0" fillId="0" borderId="0" xfId="0" applyNumberFormat="1"/>
    <xf numFmtId="0" fontId="0" fillId="0" borderId="1" xfId="0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right"/>
    </xf>
    <xf numFmtId="168" fontId="0" fillId="0" borderId="1" xfId="0" applyNumberFormat="1" applyFill="1" applyBorder="1" applyAlignment="1">
      <alignment horizontal="right"/>
    </xf>
    <xf numFmtId="0" fontId="0" fillId="3" borderId="3" xfId="0" applyFill="1" applyBorder="1" applyAlignment="1">
      <alignment horizontal="center" vertical="center"/>
    </xf>
    <xf numFmtId="168" fontId="0" fillId="0" borderId="1" xfId="0" applyNumberFormat="1" applyFont="1" applyBorder="1" applyAlignment="1">
      <alignment horizontal="right"/>
    </xf>
    <xf numFmtId="9" fontId="0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0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3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2" xfId="0" applyFont="1" applyFill="1" applyBorder="1" applyAlignment="1">
      <alignment horizontal="left" vertical="center" wrapText="1"/>
    </xf>
    <xf numFmtId="0" fontId="0" fillId="2" borderId="3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3" borderId="6" xfId="0" applyFill="1" applyBorder="1" applyAlignment="1">
      <alignment horizontal="center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2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2" fontId="0" fillId="0" borderId="2" xfId="0" applyNumberFormat="1" applyBorder="1" applyAlignment="1">
      <alignment horizontal="right"/>
    </xf>
    <xf numFmtId="2" fontId="0" fillId="0" borderId="3" xfId="0" applyNumberFormat="1" applyBorder="1" applyAlignment="1">
      <alignment horizontal="right"/>
    </xf>
    <xf numFmtId="2" fontId="0" fillId="2" borderId="2" xfId="0" applyNumberFormat="1" applyFill="1" applyBorder="1" applyAlignment="1">
      <alignment horizontal="right"/>
    </xf>
    <xf numFmtId="2" fontId="0" fillId="2" borderId="3" xfId="0" applyNumberFormat="1" applyFill="1" applyBorder="1" applyAlignment="1">
      <alignment horizontal="right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VARIACIÓN DE COSTOS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801181102362205"/>
          <c:y val="0.17171296296296298"/>
          <c:w val="0.72600218722659671"/>
          <c:h val="0.60106408573928261"/>
        </c:manualLayout>
      </c:layout>
      <c:scatterChart>
        <c:scatterStyle val="smoothMarker"/>
        <c:varyColors val="0"/>
        <c:ser>
          <c:idx val="0"/>
          <c:order val="0"/>
          <c:tx>
            <c:v>VAN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0.18732655293088368"/>
                  <c:y val="-2.280183727034120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FD8-4C64-99B2-A026F85DD287}"/>
                </c:ext>
              </c:extLst>
            </c:dLbl>
            <c:dLbl>
              <c:idx val="1"/>
              <c:layout>
                <c:manualLayout>
                  <c:x val="2.4937445319335082E-2"/>
                  <c:y val="-9.02431466899970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D8-4C64-99B2-A026F85DD287}"/>
                </c:ext>
              </c:extLst>
            </c:dLbl>
            <c:dLbl>
              <c:idx val="2"/>
              <c:layout>
                <c:manualLayout>
                  <c:x val="-6.8403324584427969E-3"/>
                  <c:y val="-5.78357392825896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FD8-4C64-99B2-A026F85DD287}"/>
                </c:ext>
              </c:extLst>
            </c:dLbl>
            <c:dLbl>
              <c:idx val="3"/>
              <c:layout>
                <c:manualLayout>
                  <c:x val="-0.10111111111111111"/>
                  <c:y val="0.1180901866433362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FD8-4C64-99B2-A026F85DD287}"/>
                </c:ext>
              </c:extLst>
            </c:dLbl>
            <c:dLbl>
              <c:idx val="4"/>
              <c:layout>
                <c:manualLayout>
                  <c:x val="-3.2819553805774275E-2"/>
                  <c:y val="-5.78357392825897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FD8-4C64-99B2-A026F85DD2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'cambio datos sensi'!$E$30:$E$34</c:f>
              <c:numCache>
                <c:formatCode>#,##0.00_ ;[Red]\-#,##0.00\ </c:formatCode>
                <c:ptCount val="5"/>
                <c:pt idx="0">
                  <c:v>1400</c:v>
                </c:pt>
                <c:pt idx="1">
                  <c:v>1600</c:v>
                </c:pt>
                <c:pt idx="2">
                  <c:v>1839.19</c:v>
                </c:pt>
                <c:pt idx="3">
                  <c:v>2849.25</c:v>
                </c:pt>
                <c:pt idx="4">
                  <c:v>3500</c:v>
                </c:pt>
              </c:numCache>
            </c:numRef>
          </c:xVal>
          <c:yVal>
            <c:numRef>
              <c:f>'cambio datos sensi'!$G$30:$G$34</c:f>
              <c:numCache>
                <c:formatCode>#,##0.00_ ;[Red]\-#,##0.00\ </c:formatCode>
                <c:ptCount val="5"/>
                <c:pt idx="0" formatCode="#,##0.00">
                  <c:v>752.23</c:v>
                </c:pt>
                <c:pt idx="1">
                  <c:v>394.75</c:v>
                </c:pt>
                <c:pt idx="2">
                  <c:v>0</c:v>
                </c:pt>
                <c:pt idx="3">
                  <c:v>-1415.14</c:v>
                </c:pt>
                <c:pt idx="4">
                  <c:v>-2052.11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FD8-4C64-99B2-A026F85DD28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-1139715552"/>
        <c:axId val="-1139720448"/>
      </c:scatterChart>
      <c:valAx>
        <c:axId val="-1139715552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COSTOS (UF)</a:t>
                </a:r>
              </a:p>
            </c:rich>
          </c:tx>
          <c:layout>
            <c:manualLayout>
              <c:xMode val="edge"/>
              <c:yMode val="edge"/>
              <c:x val="0.54420822397200352"/>
              <c:y val="0.777406678331875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_ ;[Red]\-#,##0.00\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139720448"/>
        <c:crosses val="autoZero"/>
        <c:crossBetween val="midCat"/>
      </c:valAx>
      <c:valAx>
        <c:axId val="-113972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VAN</a:t>
                </a:r>
              </a:p>
            </c:rich>
          </c:tx>
          <c:layout>
            <c:manualLayout>
              <c:xMode val="edge"/>
              <c:yMode val="edge"/>
              <c:x val="7.1167111342487167E-3"/>
              <c:y val="0.20481445027704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139715552"/>
        <c:crosses val="autoZero"/>
        <c:crossBetween val="midCat"/>
        <c:majorUnit val="500"/>
        <c:minorUnit val="1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VARIACIÓN</a:t>
            </a:r>
            <a:r>
              <a:rPr lang="en-US" baseline="0"/>
              <a:t> DE INVERSIÓN EN ACTIVOS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VAN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3.8339190039261624E-2"/>
                  <c:y val="-3.46875911344415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00B-4F9A-8903-2041FD6BF8D2}"/>
                </c:ext>
              </c:extLst>
            </c:dLbl>
            <c:dLbl>
              <c:idx val="1"/>
              <c:layout>
                <c:manualLayout>
                  <c:x val="-0.2286035010086549"/>
                  <c:y val="-6.9098133566637505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0B-4F9A-8903-2041FD6BF8D2}"/>
                </c:ext>
              </c:extLst>
            </c:dLbl>
            <c:dLbl>
              <c:idx val="2"/>
              <c:layout>
                <c:manualLayout>
                  <c:x val="4.871522309711266E-2"/>
                  <c:y val="-4.85764800233304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00B-4F9A-8903-2041FD6BF8D2}"/>
                </c:ext>
              </c:extLst>
            </c:dLbl>
            <c:dLbl>
              <c:idx val="3"/>
              <c:layout>
                <c:manualLayout>
                  <c:x val="-0.28295237630420172"/>
                  <c:y val="-3.46875911344415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00B-4F9A-8903-2041FD6BF8D2}"/>
                </c:ext>
              </c:extLst>
            </c:dLbl>
            <c:dLbl>
              <c:idx val="4"/>
              <c:layout>
                <c:manualLayout>
                  <c:x val="-0.18681292162859808"/>
                  <c:y val="2.08679644211139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00B-4F9A-8903-2041FD6BF8D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'cambio datos sensi'!$E$39:$E$43</c:f>
              <c:numCache>
                <c:formatCode>#,##0.00_ ;[Red]\-#,##0.00\ </c:formatCode>
                <c:ptCount val="5"/>
                <c:pt idx="0">
                  <c:v>13000</c:v>
                </c:pt>
                <c:pt idx="1">
                  <c:v>14000</c:v>
                </c:pt>
                <c:pt idx="2" formatCode="#,##0.00_);[Red]\(#,##0.00\)">
                  <c:v>14852.62</c:v>
                </c:pt>
                <c:pt idx="3">
                  <c:v>19998.580000000002</c:v>
                </c:pt>
                <c:pt idx="4">
                  <c:v>21000</c:v>
                </c:pt>
              </c:numCache>
            </c:numRef>
          </c:xVal>
          <c:yVal>
            <c:numRef>
              <c:f>'cambio datos sensi'!$G$39:$G$43</c:f>
              <c:numCache>
                <c:formatCode>#,##0.00_ ;[Red]\-#,##0.00\ </c:formatCode>
                <c:ptCount val="5"/>
                <c:pt idx="0">
                  <c:v>509.47</c:v>
                </c:pt>
                <c:pt idx="1">
                  <c:v>234.47</c:v>
                </c:pt>
                <c:pt idx="2">
                  <c:v>0</c:v>
                </c:pt>
                <c:pt idx="3">
                  <c:v>-1415.14</c:v>
                </c:pt>
                <c:pt idx="4">
                  <c:v>-1690.53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00B-4F9A-8903-2041FD6BF8D2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-1139716640"/>
        <c:axId val="-1139710656"/>
      </c:scatterChart>
      <c:valAx>
        <c:axId val="-1139716640"/>
        <c:scaling>
          <c:orientation val="minMax"/>
          <c:max val="25000"/>
          <c:min val="1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INVERSIÓN</a:t>
                </a:r>
                <a:r>
                  <a:rPr lang="es-CL" baseline="0"/>
                  <a:t> ACTIVOS (UF)</a:t>
                </a:r>
              </a:p>
            </c:rich>
          </c:tx>
          <c:layout>
            <c:manualLayout>
              <c:xMode val="edge"/>
              <c:yMode val="edge"/>
              <c:x val="0.55254155730533694"/>
              <c:y val="0.7727770487022455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_ ;[Red]\-#,##0.00\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139710656"/>
        <c:crosses val="autoZero"/>
        <c:crossBetween val="midCat"/>
      </c:valAx>
      <c:valAx>
        <c:axId val="-1139710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VAN</a:t>
                </a:r>
              </a:p>
            </c:rich>
          </c:tx>
          <c:layout>
            <c:manualLayout>
              <c:xMode val="edge"/>
              <c:yMode val="edge"/>
              <c:x val="2.7777777777777776E-2"/>
              <c:y val="0.177036672499270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_ ;[Red]\-#,##0.00\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1397166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VARIACIÓN</a:t>
            </a:r>
            <a:r>
              <a:rPr lang="en-US" baseline="0"/>
              <a:t> DE INGRESOS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9366469816272966"/>
          <c:y val="0.17171296296296298"/>
          <c:w val="0.74211307961504813"/>
          <c:h val="0.60106408573928261"/>
        </c:manualLayout>
      </c:layout>
      <c:scatterChart>
        <c:scatterStyle val="smoothMarker"/>
        <c:varyColors val="0"/>
        <c:ser>
          <c:idx val="0"/>
          <c:order val="0"/>
          <c:tx>
            <c:v>VAN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0.12065988626421686"/>
                  <c:y val="-2.079870224555263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380-4928-A788-DB756B894E73}"/>
                </c:ext>
              </c:extLst>
            </c:dLbl>
            <c:dLbl>
              <c:idx val="1"/>
              <c:layout>
                <c:manualLayout>
                  <c:x val="-0.19565988626421707"/>
                  <c:y val="-9.4872776319626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380-4928-A788-DB756B894E73}"/>
                </c:ext>
              </c:extLst>
            </c:dLbl>
            <c:dLbl>
              <c:idx val="2"/>
              <c:layout>
                <c:manualLayout>
                  <c:x val="-0.14572922134733168"/>
                  <c:y val="-3.46875911344415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380-4928-A788-DB756B894E73}"/>
                </c:ext>
              </c:extLst>
            </c:dLbl>
            <c:dLbl>
              <c:idx val="3"/>
              <c:layout>
                <c:manualLayout>
                  <c:x val="1.2777777777777779E-2"/>
                  <c:y val="0.1088309273840769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380-4928-A788-DB756B894E73}"/>
                </c:ext>
              </c:extLst>
            </c:dLbl>
            <c:dLbl>
              <c:idx val="4"/>
              <c:layout>
                <c:manualLayout>
                  <c:x val="-0.22448622047244093"/>
                  <c:y val="-6.9098133566638355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380-4928-A788-DB756B894E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'cambio datos sensi'!$E$47:$E$51</c:f>
              <c:numCache>
                <c:formatCode>#,##0.00_ ;[Red]\-#,##0.00\ </c:formatCode>
                <c:ptCount val="5"/>
                <c:pt idx="0">
                  <c:v>7700</c:v>
                </c:pt>
                <c:pt idx="1">
                  <c:v>7000</c:v>
                </c:pt>
                <c:pt idx="2">
                  <c:v>6736.26</c:v>
                </c:pt>
                <c:pt idx="3">
                  <c:v>5726.07</c:v>
                </c:pt>
                <c:pt idx="4">
                  <c:v>4900</c:v>
                </c:pt>
              </c:numCache>
            </c:numRef>
          </c:xVal>
          <c:yVal>
            <c:numRef>
              <c:f>'cambio datos sensi'!$G$47:$G$51</c:f>
              <c:numCache>
                <c:formatCode>#,##0.00_ ;[Red]\-#,##0.00\ </c:formatCode>
                <c:ptCount val="5"/>
                <c:pt idx="0">
                  <c:v>1592.33</c:v>
                </c:pt>
                <c:pt idx="1">
                  <c:v>435.76</c:v>
                </c:pt>
                <c:pt idx="2">
                  <c:v>0</c:v>
                </c:pt>
                <c:pt idx="3">
                  <c:v>-1415.14</c:v>
                </c:pt>
                <c:pt idx="4">
                  <c:v>-2300.91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380-4928-A788-DB756B894E73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-986545328"/>
        <c:axId val="-986547504"/>
      </c:scatterChart>
      <c:valAx>
        <c:axId val="-986545328"/>
        <c:scaling>
          <c:orientation val="minMax"/>
          <c:max val="8000"/>
          <c:min val="3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INGRESOS</a:t>
                </a:r>
                <a:r>
                  <a:rPr lang="es-CL" baseline="0"/>
                  <a:t> (UF)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_ ;[Red]\-#,##0.00\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986547504"/>
        <c:crosses val="autoZero"/>
        <c:crossBetween val="midCat"/>
      </c:valAx>
      <c:valAx>
        <c:axId val="-986547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VAN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_ ;[Red]\-#,##0.00\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9865453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354330</xdr:colOff>
      <xdr:row>27</xdr:row>
      <xdr:rowOff>114306</xdr:rowOff>
    </xdr:from>
    <xdr:to>
      <xdr:col>15</xdr:col>
      <xdr:colOff>64770</xdr:colOff>
      <xdr:row>41</xdr:row>
      <xdr:rowOff>76206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217170</xdr:colOff>
      <xdr:row>43</xdr:row>
      <xdr:rowOff>114306</xdr:rowOff>
    </xdr:from>
    <xdr:to>
      <xdr:col>14</xdr:col>
      <xdr:colOff>590550</xdr:colOff>
      <xdr:row>58</xdr:row>
      <xdr:rowOff>114306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323850</xdr:colOff>
      <xdr:row>52</xdr:row>
      <xdr:rowOff>15246</xdr:rowOff>
    </xdr:from>
    <xdr:to>
      <xdr:col>9</xdr:col>
      <xdr:colOff>171450</xdr:colOff>
      <xdr:row>67</xdr:row>
      <xdr:rowOff>38100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workbookViewId="0">
      <pane xSplit="4" ySplit="1" topLeftCell="E11" activePane="bottomRight" state="frozen"/>
      <selection pane="topRight" activeCell="E1" sqref="E1"/>
      <selection pane="bottomLeft" activeCell="A2" sqref="A2"/>
      <selection pane="bottomRight" activeCell="E13" sqref="E13"/>
    </sheetView>
  </sheetViews>
  <sheetFormatPr baseColWidth="10" defaultColWidth="11.42578125" defaultRowHeight="15" x14ac:dyDescent="0.25"/>
  <cols>
    <col min="1" max="1" width="11.28515625" customWidth="1"/>
    <col min="2" max="2" width="12.7109375" customWidth="1"/>
    <col min="3" max="3" width="7.7109375" bestFit="1" customWidth="1"/>
    <col min="4" max="4" width="18" bestFit="1" customWidth="1"/>
    <col min="5" max="5" width="16.28515625" bestFit="1" customWidth="1"/>
    <col min="6" max="6" width="11.7109375" bestFit="1" customWidth="1"/>
    <col min="7" max="7" width="16.28515625" bestFit="1" customWidth="1"/>
    <col min="8" max="8" width="17" bestFit="1" customWidth="1"/>
    <col min="9" max="9" width="12.7109375" customWidth="1"/>
    <col min="10" max="10" width="12" bestFit="1" customWidth="1"/>
    <col min="11" max="11" width="13" bestFit="1" customWidth="1"/>
    <col min="12" max="12" width="14" bestFit="1" customWidth="1"/>
  </cols>
  <sheetData>
    <row r="1" spans="1:12" s="4" customFormat="1" ht="45" x14ac:dyDescent="0.25">
      <c r="A1" s="56" t="s">
        <v>0</v>
      </c>
      <c r="B1" s="66" t="s">
        <v>1</v>
      </c>
      <c r="C1" s="66" t="s">
        <v>2</v>
      </c>
      <c r="D1" s="66" t="s">
        <v>3</v>
      </c>
      <c r="E1" s="66" t="s">
        <v>4</v>
      </c>
      <c r="F1" s="66" t="s">
        <v>5</v>
      </c>
      <c r="G1" s="56" t="s">
        <v>6</v>
      </c>
      <c r="H1" s="66" t="s">
        <v>7</v>
      </c>
      <c r="I1" s="66" t="s">
        <v>8</v>
      </c>
      <c r="J1" s="5"/>
      <c r="K1" s="5"/>
    </row>
    <row r="2" spans="1:12" x14ac:dyDescent="0.25">
      <c r="A2" s="15" t="s">
        <v>9</v>
      </c>
      <c r="B2" s="16">
        <v>6436.46</v>
      </c>
      <c r="C2" s="16">
        <v>48.792000000000002</v>
      </c>
      <c r="D2" s="44">
        <v>1784837</v>
      </c>
      <c r="E2" s="21">
        <f>B2*1000*12</f>
        <v>77237520</v>
      </c>
      <c r="F2" s="21">
        <f>D2*C2</f>
        <v>87085766.903999999</v>
      </c>
      <c r="G2" s="21">
        <f>E2+F2</f>
        <v>164323286.90399998</v>
      </c>
      <c r="H2" s="16">
        <f>G2/B4</f>
        <v>5726.0747902682369</v>
      </c>
      <c r="I2" s="16">
        <f>(H2/12)*10</f>
        <v>4771.728991890197</v>
      </c>
      <c r="J2" s="9"/>
      <c r="K2" s="6"/>
      <c r="L2" s="6"/>
    </row>
    <row r="4" spans="1:12" x14ac:dyDescent="0.25">
      <c r="A4" t="s">
        <v>10</v>
      </c>
      <c r="B4" s="7">
        <v>28697.37</v>
      </c>
      <c r="D4" s="7"/>
      <c r="E4" s="119"/>
      <c r="H4" s="3"/>
      <c r="I4" s="3"/>
    </row>
    <row r="5" spans="1:12" x14ac:dyDescent="0.25">
      <c r="A5" t="s">
        <v>11</v>
      </c>
      <c r="C5" s="7"/>
    </row>
    <row r="7" spans="1:12" x14ac:dyDescent="0.25">
      <c r="D7" s="10"/>
    </row>
    <row r="8" spans="1:12" x14ac:dyDescent="0.25">
      <c r="A8" s="56" t="s">
        <v>0</v>
      </c>
      <c r="B8" s="15" t="s">
        <v>12</v>
      </c>
      <c r="D8" s="10"/>
    </row>
    <row r="9" spans="1:12" ht="45" x14ac:dyDescent="0.25">
      <c r="A9" s="66" t="s">
        <v>1</v>
      </c>
      <c r="B9" s="16">
        <f>B2</f>
        <v>6436.46</v>
      </c>
      <c r="D9" s="3"/>
    </row>
    <row r="10" spans="1:12" ht="30" x14ac:dyDescent="0.25">
      <c r="A10" s="66" t="s">
        <v>2</v>
      </c>
      <c r="B10" s="16">
        <f>C2</f>
        <v>48.792000000000002</v>
      </c>
      <c r="D10" s="10"/>
    </row>
    <row r="11" spans="1:12" ht="45" x14ac:dyDescent="0.25">
      <c r="A11" s="66" t="s">
        <v>3</v>
      </c>
      <c r="B11" s="44">
        <v>1784837</v>
      </c>
    </row>
    <row r="12" spans="1:12" ht="45" x14ac:dyDescent="0.25">
      <c r="A12" s="66" t="s">
        <v>4</v>
      </c>
      <c r="B12" s="21">
        <f>E2</f>
        <v>77237520</v>
      </c>
    </row>
    <row r="13" spans="1:12" ht="45" x14ac:dyDescent="0.25">
      <c r="A13" s="66" t="s">
        <v>5</v>
      </c>
      <c r="B13" s="21">
        <f>F2</f>
        <v>87085766.903999999</v>
      </c>
    </row>
    <row r="14" spans="1:12" x14ac:dyDescent="0.25">
      <c r="A14" s="56" t="s">
        <v>6</v>
      </c>
      <c r="B14" s="21">
        <f>B12+B13</f>
        <v>164323286.90399998</v>
      </c>
    </row>
    <row r="15" spans="1:12" ht="30" x14ac:dyDescent="0.25">
      <c r="A15" s="66" t="s">
        <v>7</v>
      </c>
      <c r="B15" s="16">
        <f>H2</f>
        <v>5726.0747902682369</v>
      </c>
    </row>
    <row r="16" spans="1:12" ht="30" x14ac:dyDescent="0.25">
      <c r="A16" s="66" t="s">
        <v>8</v>
      </c>
      <c r="B16" s="16">
        <v>4771.728991890197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1"/>
  <sheetViews>
    <sheetView zoomScaleNormal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37" sqref="D37"/>
    </sheetView>
  </sheetViews>
  <sheetFormatPr baseColWidth="10" defaultColWidth="11.42578125" defaultRowHeight="15" x14ac:dyDescent="0.25"/>
  <cols>
    <col min="1" max="1" width="3.42578125" bestFit="1" customWidth="1"/>
    <col min="2" max="2" width="18.7109375" bestFit="1" customWidth="1"/>
    <col min="3" max="3" width="10.140625" customWidth="1"/>
    <col min="4" max="4" width="9.7109375" customWidth="1"/>
    <col min="5" max="28" width="9.7109375" bestFit="1" customWidth="1"/>
  </cols>
  <sheetData>
    <row r="1" spans="1:28" x14ac:dyDescent="0.25">
      <c r="A1" s="1"/>
      <c r="C1" s="43">
        <v>0</v>
      </c>
      <c r="D1" s="43">
        <v>1</v>
      </c>
      <c r="E1" s="43">
        <v>2</v>
      </c>
      <c r="F1" s="43">
        <v>3</v>
      </c>
      <c r="G1" s="43">
        <v>4</v>
      </c>
      <c r="H1" s="43">
        <v>5</v>
      </c>
      <c r="I1" s="43">
        <v>6</v>
      </c>
      <c r="J1" s="43">
        <v>7</v>
      </c>
      <c r="K1" s="43">
        <v>8</v>
      </c>
      <c r="L1" s="43">
        <v>9</v>
      </c>
      <c r="M1" s="43">
        <v>10</v>
      </c>
      <c r="N1" s="43">
        <v>11</v>
      </c>
      <c r="O1" s="43">
        <v>12</v>
      </c>
      <c r="P1" s="43">
        <v>13</v>
      </c>
      <c r="Q1" s="43">
        <v>14</v>
      </c>
      <c r="R1" s="43">
        <v>15</v>
      </c>
      <c r="S1" s="43">
        <v>16</v>
      </c>
      <c r="T1" s="43">
        <v>17</v>
      </c>
      <c r="U1" s="43">
        <v>18</v>
      </c>
      <c r="V1" s="43">
        <v>19</v>
      </c>
      <c r="W1" s="43">
        <v>20</v>
      </c>
      <c r="X1" s="43">
        <v>21</v>
      </c>
      <c r="Y1" s="43">
        <v>22</v>
      </c>
      <c r="Z1" s="43">
        <v>23</v>
      </c>
      <c r="AA1" s="43">
        <v>24</v>
      </c>
      <c r="AB1" s="43">
        <v>25</v>
      </c>
    </row>
    <row r="2" spans="1:28" x14ac:dyDescent="0.25">
      <c r="A2" s="37" t="s">
        <v>106</v>
      </c>
      <c r="B2" s="15" t="s">
        <v>107</v>
      </c>
      <c r="C2" s="38"/>
      <c r="D2" s="38">
        <v>0</v>
      </c>
      <c r="E2" s="38">
        <v>0</v>
      </c>
      <c r="F2" s="38">
        <f>Ingresos!I2</f>
        <v>4771.728991890197</v>
      </c>
      <c r="G2" s="38">
        <f>Ingresos!$H$2</f>
        <v>5726.0747902682369</v>
      </c>
      <c r="H2" s="38">
        <f>Ingresos!$H$2</f>
        <v>5726.0747902682369</v>
      </c>
      <c r="I2" s="38">
        <f>Ingresos!$H$2</f>
        <v>5726.0747902682369</v>
      </c>
      <c r="J2" s="38">
        <f>Ingresos!$H$2</f>
        <v>5726.0747902682369</v>
      </c>
      <c r="K2" s="38">
        <f>Ingresos!$H$2</f>
        <v>5726.0747902682369</v>
      </c>
      <c r="L2" s="38">
        <f>Ingresos!$H$2</f>
        <v>5726.0747902682369</v>
      </c>
      <c r="M2" s="38">
        <f>Ingresos!$H$2</f>
        <v>5726.0747902682369</v>
      </c>
      <c r="N2" s="38">
        <f>Ingresos!$H$2</f>
        <v>5726.0747902682369</v>
      </c>
      <c r="O2" s="38">
        <f>Ingresos!$H$2</f>
        <v>5726.0747902682369</v>
      </c>
      <c r="P2" s="38">
        <f>Ingresos!$H$2</f>
        <v>5726.0747902682369</v>
      </c>
      <c r="Q2" s="38">
        <f>Ingresos!$H$2</f>
        <v>5726.0747902682369</v>
      </c>
      <c r="R2" s="38">
        <f>Ingresos!$H$2</f>
        <v>5726.0747902682369</v>
      </c>
      <c r="S2" s="38">
        <f>Ingresos!$H$2</f>
        <v>5726.0747902682369</v>
      </c>
      <c r="T2" s="38">
        <f>Ingresos!$H$2</f>
        <v>5726.0747902682369</v>
      </c>
      <c r="U2" s="38">
        <f>Ingresos!$H$2</f>
        <v>5726.0747902682369</v>
      </c>
      <c r="V2" s="38">
        <f>Ingresos!$H$2</f>
        <v>5726.0747902682369</v>
      </c>
      <c r="W2" s="38">
        <f>Ingresos!$H$2</f>
        <v>5726.0747902682369</v>
      </c>
      <c r="X2" s="38">
        <f>Ingresos!$H$2</f>
        <v>5726.0747902682369</v>
      </c>
      <c r="Y2" s="38">
        <f>Ingresos!$H$2</f>
        <v>5726.0747902682369</v>
      </c>
      <c r="Z2" s="38">
        <f>Ingresos!$H$2</f>
        <v>5726.0747902682369</v>
      </c>
      <c r="AA2" s="38">
        <f>Ingresos!$H$2</f>
        <v>5726.0747902682369</v>
      </c>
      <c r="AB2" s="38">
        <f>Ingresos!$H$2+'capital de trabajo meses'!D2*2</f>
        <v>6680.4205886462769</v>
      </c>
    </row>
    <row r="3" spans="1:28" x14ac:dyDescent="0.25">
      <c r="A3" s="37" t="s">
        <v>108</v>
      </c>
      <c r="B3" s="15" t="s">
        <v>109</v>
      </c>
      <c r="C3" s="38"/>
      <c r="D3" s="38">
        <f>-'gastos de personal'!C32</f>
        <v>-1344.9316087153632</v>
      </c>
      <c r="E3" s="38">
        <f>-'gastos de personal'!C33</f>
        <v>-1216.3483970830775</v>
      </c>
      <c r="F3" s="38">
        <f>-'gastos de personal'!C34</f>
        <v>-2849.2506456166534</v>
      </c>
      <c r="G3" s="38">
        <f>F3-'gastos de personal'!$D$36</f>
        <v>-2849.5991096048169</v>
      </c>
      <c r="H3" s="38">
        <f>G3-'gastos de personal'!$D$36</f>
        <v>-2849.9475735929805</v>
      </c>
      <c r="I3" s="38">
        <f>H3-'gastos de personal'!$D$36</f>
        <v>-2850.296037581144</v>
      </c>
      <c r="J3" s="38">
        <f>I3-'gastos de personal'!$D$36</f>
        <v>-2850.6445015693075</v>
      </c>
      <c r="K3" s="38">
        <f>J3-'gastos de personal'!$D$36</f>
        <v>-2850.9929655574711</v>
      </c>
      <c r="L3" s="38">
        <f>K3-'gastos de personal'!$D$36</f>
        <v>-2851.3414295456346</v>
      </c>
      <c r="M3" s="38">
        <f>L3-'gastos de personal'!$D$36</f>
        <v>-2851.6898935337981</v>
      </c>
      <c r="N3" s="38">
        <f>M3-'gastos de personal'!$D$36</f>
        <v>-2852.0383575219616</v>
      </c>
      <c r="O3" s="38">
        <f>N3-'gastos de personal'!$D$36</f>
        <v>-2852.3868215101252</v>
      </c>
      <c r="P3" s="38">
        <f>O3-'gastos de personal'!$D$36</f>
        <v>-2852.7352854982887</v>
      </c>
      <c r="Q3" s="38">
        <f>P3-'gastos de personal'!$D$36</f>
        <v>-2853.0837494864522</v>
      </c>
      <c r="R3" s="38">
        <f>Q3-'gastos de personal'!$D$36</f>
        <v>-2853.4322134746158</v>
      </c>
      <c r="S3" s="38">
        <f>R3-'gastos de personal'!$D$36</f>
        <v>-2853.7806774627793</v>
      </c>
      <c r="T3" s="38">
        <f>S3-'gastos de personal'!$D$36</f>
        <v>-2854.1291414509428</v>
      </c>
      <c r="U3" s="38">
        <f>T3-'gastos de personal'!$D$36</f>
        <v>-2854.4776054391064</v>
      </c>
      <c r="V3" s="38">
        <f>U3-'gastos de personal'!$D$36</f>
        <v>-2854.8260694272699</v>
      </c>
      <c r="W3" s="38">
        <f>V3-'gastos de personal'!$D$36</f>
        <v>-2855.1745334154334</v>
      </c>
      <c r="X3" s="38">
        <f>W3-'gastos de personal'!$D$36</f>
        <v>-2855.5229974035969</v>
      </c>
      <c r="Y3" s="38">
        <f>X3-'gastos de personal'!$D$36</f>
        <v>-2855.8714613917605</v>
      </c>
      <c r="Z3" s="38">
        <f>Y3-'gastos de personal'!$D$36</f>
        <v>-2856.219925379924</v>
      </c>
      <c r="AA3" s="38">
        <f>Z3-'gastos de personal'!$D$36</f>
        <v>-2856.5683893680875</v>
      </c>
      <c r="AB3" s="38">
        <f>AA3-'gastos de personal'!$D$36</f>
        <v>-2856.9168533562511</v>
      </c>
    </row>
    <row r="4" spans="1:28" x14ac:dyDescent="0.25">
      <c r="A4" s="37" t="s">
        <v>110</v>
      </c>
      <c r="B4" s="17" t="s">
        <v>111</v>
      </c>
      <c r="C4" s="39"/>
      <c r="D4" s="39">
        <f t="shared" ref="D4:J4" si="0">SUM(D2+D3)</f>
        <v>-1344.9316087153632</v>
      </c>
      <c r="E4" s="39">
        <f t="shared" si="0"/>
        <v>-1216.3483970830775</v>
      </c>
      <c r="F4" s="39">
        <f t="shared" si="0"/>
        <v>1922.4783462735436</v>
      </c>
      <c r="G4" s="39">
        <f t="shared" si="0"/>
        <v>2876.47568066342</v>
      </c>
      <c r="H4" s="39">
        <f t="shared" si="0"/>
        <v>2876.1272166752565</v>
      </c>
      <c r="I4" s="39">
        <f t="shared" si="0"/>
        <v>2875.7787526870929</v>
      </c>
      <c r="J4" s="39">
        <f t="shared" si="0"/>
        <v>2875.4302886989294</v>
      </c>
      <c r="K4" s="39">
        <f t="shared" ref="K4:AB4" si="1">SUM(K2+K3)</f>
        <v>2875.0818247107659</v>
      </c>
      <c r="L4" s="39">
        <f t="shared" si="1"/>
        <v>2874.7333607226024</v>
      </c>
      <c r="M4" s="39">
        <f t="shared" si="1"/>
        <v>2874.3848967344388</v>
      </c>
      <c r="N4" s="39">
        <f t="shared" si="1"/>
        <v>2874.0364327462753</v>
      </c>
      <c r="O4" s="39">
        <f t="shared" si="1"/>
        <v>2873.6879687581118</v>
      </c>
      <c r="P4" s="39">
        <f t="shared" si="1"/>
        <v>2873.3395047699482</v>
      </c>
      <c r="Q4" s="39">
        <f t="shared" si="1"/>
        <v>2872.9910407817847</v>
      </c>
      <c r="R4" s="39">
        <f t="shared" si="1"/>
        <v>2872.6425767936212</v>
      </c>
      <c r="S4" s="39">
        <f t="shared" si="1"/>
        <v>2872.2941128054576</v>
      </c>
      <c r="T4" s="39">
        <f t="shared" si="1"/>
        <v>2871.9456488172941</v>
      </c>
      <c r="U4" s="39">
        <f t="shared" si="1"/>
        <v>2871.5971848291306</v>
      </c>
      <c r="V4" s="39">
        <f t="shared" si="1"/>
        <v>2871.2487208409671</v>
      </c>
      <c r="W4" s="39">
        <f t="shared" si="1"/>
        <v>2870.9002568528035</v>
      </c>
      <c r="X4" s="39">
        <f t="shared" si="1"/>
        <v>2870.55179286464</v>
      </c>
      <c r="Y4" s="39">
        <f t="shared" si="1"/>
        <v>2870.2033288764765</v>
      </c>
      <c r="Z4" s="39">
        <f t="shared" si="1"/>
        <v>2869.8548648883129</v>
      </c>
      <c r="AA4" s="39">
        <f t="shared" si="1"/>
        <v>2869.5064009001494</v>
      </c>
      <c r="AB4" s="39">
        <f t="shared" si="1"/>
        <v>3823.5037352900258</v>
      </c>
    </row>
    <row r="5" spans="1:28" x14ac:dyDescent="0.25">
      <c r="A5" s="37" t="s">
        <v>108</v>
      </c>
      <c r="B5" s="15" t="s">
        <v>112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</row>
    <row r="6" spans="1:28" x14ac:dyDescent="0.25">
      <c r="A6" s="37" t="s">
        <v>108</v>
      </c>
      <c r="B6" s="15" t="s">
        <v>113</v>
      </c>
      <c r="C6" s="38"/>
      <c r="D6" s="38"/>
      <c r="E6" s="38">
        <f>-amortización!D7</f>
        <v>-68.45701888361198</v>
      </c>
      <c r="F6" s="38">
        <f>-amortización!D16</f>
        <v>-128.06819310201601</v>
      </c>
      <c r="G6" s="38">
        <f>-amortización!D25</f>
        <v>-42.518137759885775</v>
      </c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</row>
    <row r="7" spans="1:28" x14ac:dyDescent="0.25">
      <c r="A7" s="37" t="s">
        <v>108</v>
      </c>
      <c r="B7" s="15" t="s">
        <v>114</v>
      </c>
      <c r="C7" s="38"/>
      <c r="D7" s="50">
        <f>-depreciación!D14</f>
        <v>-6499.2540052194581</v>
      </c>
      <c r="E7" s="25">
        <f>-depreciación!E14</f>
        <v>-6499.2540052194581</v>
      </c>
      <c r="F7" s="50">
        <f>-depreciación!F14</f>
        <v>-6233.4468075563973</v>
      </c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</row>
    <row r="8" spans="1:28" x14ac:dyDescent="0.25">
      <c r="A8" s="40" t="s">
        <v>115</v>
      </c>
      <c r="B8" s="15" t="s">
        <v>116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</row>
    <row r="9" spans="1:28" x14ac:dyDescent="0.25">
      <c r="A9" s="37" t="s">
        <v>108</v>
      </c>
      <c r="B9" s="15" t="s">
        <v>117</v>
      </c>
      <c r="C9" s="38"/>
      <c r="D9" s="38"/>
      <c r="E9" s="38">
        <f t="shared" ref="E9:K9" si="2">IF(D10&lt;1,(D10),(0))</f>
        <v>-7844.185613934821</v>
      </c>
      <c r="F9" s="38">
        <f t="shared" si="2"/>
        <v>-15628.24503512097</v>
      </c>
      <c r="G9" s="38">
        <f t="shared" si="2"/>
        <v>-20067.281689505839</v>
      </c>
      <c r="H9" s="38">
        <f t="shared" si="2"/>
        <v>-17233.324146602303</v>
      </c>
      <c r="I9" s="38">
        <f t="shared" si="2"/>
        <v>-14357.196929927046</v>
      </c>
      <c r="J9" s="38">
        <f t="shared" si="2"/>
        <v>-11481.418177239953</v>
      </c>
      <c r="K9" s="38">
        <f t="shared" si="2"/>
        <v>-8605.9878885410235</v>
      </c>
      <c r="L9" s="38">
        <f t="shared" ref="L9:AB9" si="3">IF(K10&lt;1,(K10),(0))</f>
        <v>-5730.9060638302581</v>
      </c>
      <c r="M9" s="38">
        <f t="shared" si="3"/>
        <v>-2856.1727031076557</v>
      </c>
      <c r="N9" s="38">
        <f t="shared" si="3"/>
        <v>0</v>
      </c>
      <c r="O9" s="38">
        <f t="shared" si="3"/>
        <v>0</v>
      </c>
      <c r="P9" s="38">
        <f t="shared" si="3"/>
        <v>0</v>
      </c>
      <c r="Q9" s="38">
        <f t="shared" si="3"/>
        <v>0</v>
      </c>
      <c r="R9" s="38">
        <f t="shared" si="3"/>
        <v>0</v>
      </c>
      <c r="S9" s="38">
        <f t="shared" si="3"/>
        <v>0</v>
      </c>
      <c r="T9" s="38">
        <f t="shared" si="3"/>
        <v>0</v>
      </c>
      <c r="U9" s="38">
        <f t="shared" si="3"/>
        <v>0</v>
      </c>
      <c r="V9" s="38">
        <f t="shared" si="3"/>
        <v>0</v>
      </c>
      <c r="W9" s="38">
        <f t="shared" si="3"/>
        <v>0</v>
      </c>
      <c r="X9" s="38">
        <f t="shared" si="3"/>
        <v>0</v>
      </c>
      <c r="Y9" s="38">
        <f t="shared" si="3"/>
        <v>0</v>
      </c>
      <c r="Z9" s="38">
        <f t="shared" si="3"/>
        <v>0</v>
      </c>
      <c r="AA9" s="38">
        <f t="shared" si="3"/>
        <v>0</v>
      </c>
      <c r="AB9" s="38">
        <f t="shared" si="3"/>
        <v>0</v>
      </c>
    </row>
    <row r="10" spans="1:28" x14ac:dyDescent="0.25">
      <c r="A10" s="37" t="s">
        <v>110</v>
      </c>
      <c r="B10" s="17" t="s">
        <v>118</v>
      </c>
      <c r="C10" s="39"/>
      <c r="D10" s="39">
        <f t="shared" ref="D10:J10" si="4">SUM(D4:D9)</f>
        <v>-7844.185613934821</v>
      </c>
      <c r="E10" s="39">
        <f t="shared" si="4"/>
        <v>-15628.24503512097</v>
      </c>
      <c r="F10" s="39">
        <f t="shared" si="4"/>
        <v>-20067.281689505839</v>
      </c>
      <c r="G10" s="39">
        <f t="shared" si="4"/>
        <v>-17233.324146602303</v>
      </c>
      <c r="H10" s="39">
        <f t="shared" si="4"/>
        <v>-14357.196929927046</v>
      </c>
      <c r="I10" s="39">
        <f t="shared" si="4"/>
        <v>-11481.418177239953</v>
      </c>
      <c r="J10" s="39">
        <f t="shared" si="4"/>
        <v>-8605.9878885410235</v>
      </c>
      <c r="K10" s="39">
        <f t="shared" ref="K10:AB10" si="5">SUM(K4:K9)</f>
        <v>-5730.9060638302581</v>
      </c>
      <c r="L10" s="39">
        <f t="shared" si="5"/>
        <v>-2856.1727031076557</v>
      </c>
      <c r="M10" s="39">
        <f t="shared" si="5"/>
        <v>18.212193626783119</v>
      </c>
      <c r="N10" s="39">
        <f t="shared" si="5"/>
        <v>2874.0364327462753</v>
      </c>
      <c r="O10" s="39">
        <f t="shared" si="5"/>
        <v>2873.6879687581118</v>
      </c>
      <c r="P10" s="39">
        <f t="shared" si="5"/>
        <v>2873.3395047699482</v>
      </c>
      <c r="Q10" s="39">
        <f t="shared" si="5"/>
        <v>2872.9910407817847</v>
      </c>
      <c r="R10" s="39">
        <f t="shared" si="5"/>
        <v>2872.6425767936212</v>
      </c>
      <c r="S10" s="39">
        <f t="shared" si="5"/>
        <v>2872.2941128054576</v>
      </c>
      <c r="T10" s="39">
        <f t="shared" si="5"/>
        <v>2871.9456488172941</v>
      </c>
      <c r="U10" s="39">
        <f t="shared" si="5"/>
        <v>2871.5971848291306</v>
      </c>
      <c r="V10" s="39">
        <f t="shared" si="5"/>
        <v>2871.2487208409671</v>
      </c>
      <c r="W10" s="39">
        <f t="shared" si="5"/>
        <v>2870.9002568528035</v>
      </c>
      <c r="X10" s="39">
        <f t="shared" si="5"/>
        <v>2870.55179286464</v>
      </c>
      <c r="Y10" s="39">
        <f t="shared" si="5"/>
        <v>2870.2033288764765</v>
      </c>
      <c r="Z10" s="39">
        <f t="shared" si="5"/>
        <v>2869.8548648883129</v>
      </c>
      <c r="AA10" s="39">
        <f t="shared" si="5"/>
        <v>2869.5064009001494</v>
      </c>
      <c r="AB10" s="39">
        <f t="shared" si="5"/>
        <v>3823.5037352900258</v>
      </c>
    </row>
    <row r="11" spans="1:28" x14ac:dyDescent="0.25">
      <c r="A11" s="37" t="s">
        <v>108</v>
      </c>
      <c r="B11" s="15" t="s">
        <v>119</v>
      </c>
      <c r="C11" s="38"/>
      <c r="D11" s="38">
        <f t="shared" ref="D11:J11" si="6">IF(D10&gt;0,(-D10*0.27),(0))</f>
        <v>0</v>
      </c>
      <c r="E11" s="38">
        <f t="shared" si="6"/>
        <v>0</v>
      </c>
      <c r="F11" s="38">
        <f t="shared" si="6"/>
        <v>0</v>
      </c>
      <c r="G11" s="38">
        <f t="shared" si="6"/>
        <v>0</v>
      </c>
      <c r="H11" s="38">
        <f t="shared" si="6"/>
        <v>0</v>
      </c>
      <c r="I11" s="38">
        <f t="shared" si="6"/>
        <v>0</v>
      </c>
      <c r="J11" s="38">
        <f t="shared" si="6"/>
        <v>0</v>
      </c>
      <c r="K11" s="38">
        <f t="shared" ref="K11:AB11" si="7">IF(K10&gt;0,(-K10*0.27),(0))</f>
        <v>0</v>
      </c>
      <c r="L11" s="38">
        <f t="shared" si="7"/>
        <v>0</v>
      </c>
      <c r="M11" s="38">
        <f t="shared" si="7"/>
        <v>-4.9172922792314422</v>
      </c>
      <c r="N11" s="38">
        <f t="shared" si="7"/>
        <v>-775.98983684149437</v>
      </c>
      <c r="O11" s="38">
        <f t="shared" si="7"/>
        <v>-775.89575156469027</v>
      </c>
      <c r="P11" s="38">
        <f t="shared" si="7"/>
        <v>-775.80166628788606</v>
      </c>
      <c r="Q11" s="38">
        <f t="shared" si="7"/>
        <v>-775.70758101108197</v>
      </c>
      <c r="R11" s="38">
        <f t="shared" si="7"/>
        <v>-775.61349573427776</v>
      </c>
      <c r="S11" s="38">
        <f t="shared" si="7"/>
        <v>-775.51941045747367</v>
      </c>
      <c r="T11" s="38">
        <f t="shared" si="7"/>
        <v>-775.42532518066946</v>
      </c>
      <c r="U11" s="38">
        <f t="shared" si="7"/>
        <v>-775.33123990386525</v>
      </c>
      <c r="V11" s="38">
        <f t="shared" si="7"/>
        <v>-775.23715462706116</v>
      </c>
      <c r="W11" s="38">
        <f t="shared" si="7"/>
        <v>-775.14306935025695</v>
      </c>
      <c r="X11" s="38">
        <f t="shared" si="7"/>
        <v>-775.04898407345286</v>
      </c>
      <c r="Y11" s="38">
        <f t="shared" si="7"/>
        <v>-774.95489879664865</v>
      </c>
      <c r="Z11" s="38">
        <f t="shared" si="7"/>
        <v>-774.86081351984456</v>
      </c>
      <c r="AA11" s="38">
        <f t="shared" si="7"/>
        <v>-774.76672824304035</v>
      </c>
      <c r="AB11" s="38">
        <f t="shared" si="7"/>
        <v>-1032.346008528307</v>
      </c>
    </row>
    <row r="12" spans="1:28" x14ac:dyDescent="0.25">
      <c r="A12" s="37" t="s">
        <v>110</v>
      </c>
      <c r="B12" s="17" t="s">
        <v>120</v>
      </c>
      <c r="C12" s="39"/>
      <c r="D12" s="39">
        <f t="shared" ref="D12:J12" si="8">SUM(D10:D11)</f>
        <v>-7844.185613934821</v>
      </c>
      <c r="E12" s="39">
        <f t="shared" si="8"/>
        <v>-15628.24503512097</v>
      </c>
      <c r="F12" s="39">
        <f t="shared" si="8"/>
        <v>-20067.281689505839</v>
      </c>
      <c r="G12" s="39">
        <f t="shared" si="8"/>
        <v>-17233.324146602303</v>
      </c>
      <c r="H12" s="39">
        <f t="shared" si="8"/>
        <v>-14357.196929927046</v>
      </c>
      <c r="I12" s="39">
        <f t="shared" si="8"/>
        <v>-11481.418177239953</v>
      </c>
      <c r="J12" s="39">
        <f t="shared" si="8"/>
        <v>-8605.9878885410235</v>
      </c>
      <c r="K12" s="39">
        <f t="shared" ref="K12:AB12" si="9">SUM(K10:K11)</f>
        <v>-5730.9060638302581</v>
      </c>
      <c r="L12" s="39">
        <f t="shared" si="9"/>
        <v>-2856.1727031076557</v>
      </c>
      <c r="M12" s="39">
        <f t="shared" si="9"/>
        <v>13.294901347551676</v>
      </c>
      <c r="N12" s="39">
        <f t="shared" si="9"/>
        <v>2098.046595904781</v>
      </c>
      <c r="O12" s="39">
        <f t="shared" si="9"/>
        <v>2097.7922171934215</v>
      </c>
      <c r="P12" s="39">
        <f t="shared" si="9"/>
        <v>2097.5378384820624</v>
      </c>
      <c r="Q12" s="39">
        <f t="shared" si="9"/>
        <v>2097.2834597707028</v>
      </c>
      <c r="R12" s="39">
        <f t="shared" si="9"/>
        <v>2097.0290810593433</v>
      </c>
      <c r="S12" s="39">
        <f>SUM(S10:S11)</f>
        <v>2096.7747023479842</v>
      </c>
      <c r="T12" s="39">
        <f t="shared" si="9"/>
        <v>2096.5203236366247</v>
      </c>
      <c r="U12" s="39">
        <f t="shared" si="9"/>
        <v>2096.2659449252651</v>
      </c>
      <c r="V12" s="39">
        <f t="shared" si="9"/>
        <v>2096.011566213906</v>
      </c>
      <c r="W12" s="39">
        <f t="shared" si="9"/>
        <v>2095.7571875025465</v>
      </c>
      <c r="X12" s="39">
        <f t="shared" si="9"/>
        <v>2095.5028087911869</v>
      </c>
      <c r="Y12" s="39">
        <f t="shared" si="9"/>
        <v>2095.2484300798278</v>
      </c>
      <c r="Z12" s="39">
        <f t="shared" si="9"/>
        <v>2094.9940513684683</v>
      </c>
      <c r="AA12" s="39">
        <f t="shared" si="9"/>
        <v>2094.7396726571092</v>
      </c>
      <c r="AB12" s="39">
        <f t="shared" si="9"/>
        <v>2791.1577267617185</v>
      </c>
    </row>
    <row r="13" spans="1:28" x14ac:dyDescent="0.25">
      <c r="A13" s="37" t="s">
        <v>106</v>
      </c>
      <c r="B13" s="15" t="s">
        <v>117</v>
      </c>
      <c r="C13" s="38"/>
      <c r="D13" s="38"/>
      <c r="E13" s="38">
        <f t="shared" ref="E13:J13" si="10">-E9</f>
        <v>7844.185613934821</v>
      </c>
      <c r="F13" s="38">
        <f t="shared" si="10"/>
        <v>15628.24503512097</v>
      </c>
      <c r="G13" s="38">
        <f t="shared" si="10"/>
        <v>20067.281689505839</v>
      </c>
      <c r="H13" s="38">
        <f t="shared" si="10"/>
        <v>17233.324146602303</v>
      </c>
      <c r="I13" s="38">
        <f t="shared" si="10"/>
        <v>14357.196929927046</v>
      </c>
      <c r="J13" s="38">
        <f t="shared" si="10"/>
        <v>11481.418177239953</v>
      </c>
      <c r="K13" s="38">
        <f>-K9</f>
        <v>8605.9878885410235</v>
      </c>
      <c r="L13" s="38">
        <f>-L9</f>
        <v>5730.9060638302581</v>
      </c>
      <c r="M13" s="38">
        <f>-M9</f>
        <v>2856.1727031076557</v>
      </c>
      <c r="N13" s="38">
        <f>-N9</f>
        <v>0</v>
      </c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</row>
    <row r="14" spans="1:28" x14ac:dyDescent="0.25">
      <c r="A14" s="37" t="s">
        <v>106</v>
      </c>
      <c r="B14" s="41" t="s">
        <v>114</v>
      </c>
      <c r="C14" s="38"/>
      <c r="D14" s="38">
        <f>-D7</f>
        <v>6499.2540052194581</v>
      </c>
      <c r="E14" s="38">
        <f>-E7</f>
        <v>6499.2540052194581</v>
      </c>
      <c r="F14" s="38">
        <f>-F7</f>
        <v>6233.4468075563973</v>
      </c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</row>
    <row r="15" spans="1:28" x14ac:dyDescent="0.25">
      <c r="A15" s="37" t="s">
        <v>108</v>
      </c>
      <c r="B15" s="41" t="s">
        <v>121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</row>
    <row r="16" spans="1:28" x14ac:dyDescent="0.25">
      <c r="A16" s="37" t="s">
        <v>108</v>
      </c>
      <c r="B16" s="41" t="s">
        <v>122</v>
      </c>
      <c r="C16" s="38"/>
      <c r="D16" s="38"/>
      <c r="E16" s="38">
        <f>-amortización!E7</f>
        <v>-1344.9316087153629</v>
      </c>
      <c r="F16" s="38">
        <f>-amortización!E16</f>
        <v>-2629.7370246820547</v>
      </c>
      <c r="G16" s="38">
        <f>-amortización!E25</f>
        <v>-835.32687151052596</v>
      </c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</row>
    <row r="17" spans="1:28" x14ac:dyDescent="0.25">
      <c r="A17" s="37" t="s">
        <v>106</v>
      </c>
      <c r="B17" s="41" t="s">
        <v>123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>
        <f>Inversiones!C21*2+Inversiones!F12/2+Inversiones!E17/2+Inversiones!C22/3</f>
        <v>2989.7048637790385</v>
      </c>
    </row>
    <row r="18" spans="1:28" x14ac:dyDescent="0.25">
      <c r="A18" s="37" t="s">
        <v>108</v>
      </c>
      <c r="B18" s="41" t="s">
        <v>124</v>
      </c>
      <c r="C18" s="38">
        <f>'capital de trabajo meses'!C8</f>
        <v>-2774.7200062816437</v>
      </c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>
        <f>-C18</f>
        <v>2774.7200062816437</v>
      </c>
    </row>
    <row r="19" spans="1:28" x14ac:dyDescent="0.25">
      <c r="A19" s="37" t="s">
        <v>108</v>
      </c>
      <c r="B19" s="41" t="s">
        <v>125</v>
      </c>
      <c r="C19" s="38">
        <f>-'gastos de personal'!I27</f>
        <v>-49.242003709747621</v>
      </c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</row>
    <row r="20" spans="1:28" x14ac:dyDescent="0.25">
      <c r="A20" s="37" t="s">
        <v>108</v>
      </c>
      <c r="B20" s="41" t="s">
        <v>126</v>
      </c>
      <c r="C20" s="38">
        <f>-Inversiones!B27</f>
        <v>-19998.575591954741</v>
      </c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</row>
    <row r="21" spans="1:28" x14ac:dyDescent="0.25">
      <c r="A21" s="37" t="s">
        <v>108</v>
      </c>
      <c r="B21" s="41" t="s">
        <v>128</v>
      </c>
      <c r="C21" s="38">
        <f>C20*0.1</f>
        <v>-1999.8575591954741</v>
      </c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</row>
    <row r="22" spans="1:28" x14ac:dyDescent="0.25">
      <c r="A22" s="37" t="s">
        <v>110</v>
      </c>
      <c r="B22" s="17" t="s">
        <v>129</v>
      </c>
      <c r="C22" s="39">
        <f>SUM(C18:C21)</f>
        <v>-24822.395161141605</v>
      </c>
      <c r="D22" s="39">
        <f t="shared" ref="D22:J22" si="11">SUM(D12:D21)</f>
        <v>-1344.9316087153629</v>
      </c>
      <c r="E22" s="39">
        <f t="shared" si="11"/>
        <v>-2629.7370246820537</v>
      </c>
      <c r="F22" s="39">
        <f t="shared" si="11"/>
        <v>-835.32687151052596</v>
      </c>
      <c r="G22" s="39">
        <f t="shared" si="11"/>
        <v>1998.6306713930098</v>
      </c>
      <c r="H22" s="39">
        <f t="shared" si="11"/>
        <v>2876.1272166752569</v>
      </c>
      <c r="I22" s="39">
        <f t="shared" si="11"/>
        <v>2875.7787526870925</v>
      </c>
      <c r="J22" s="39">
        <f t="shared" si="11"/>
        <v>2875.4302886989299</v>
      </c>
      <c r="K22" s="39">
        <f t="shared" ref="K22:AA22" si="12">SUM(K12:K21)</f>
        <v>2875.0818247107654</v>
      </c>
      <c r="L22" s="39">
        <f t="shared" si="12"/>
        <v>2874.7333607226024</v>
      </c>
      <c r="M22" s="39">
        <f t="shared" si="12"/>
        <v>2869.4676044552075</v>
      </c>
      <c r="N22" s="39">
        <f t="shared" si="12"/>
        <v>2098.046595904781</v>
      </c>
      <c r="O22" s="39">
        <f t="shared" si="12"/>
        <v>2097.7922171934215</v>
      </c>
      <c r="P22" s="39">
        <f t="shared" si="12"/>
        <v>2097.5378384820624</v>
      </c>
      <c r="Q22" s="39">
        <f t="shared" si="12"/>
        <v>2097.2834597707028</v>
      </c>
      <c r="R22" s="39">
        <f t="shared" si="12"/>
        <v>2097.0290810593433</v>
      </c>
      <c r="S22" s="39">
        <f t="shared" si="12"/>
        <v>2096.7747023479842</v>
      </c>
      <c r="T22" s="39">
        <f t="shared" si="12"/>
        <v>2096.5203236366247</v>
      </c>
      <c r="U22" s="39">
        <f t="shared" si="12"/>
        <v>2096.2659449252651</v>
      </c>
      <c r="V22" s="39">
        <f t="shared" si="12"/>
        <v>2096.011566213906</v>
      </c>
      <c r="W22" s="39">
        <f t="shared" si="12"/>
        <v>2095.7571875025465</v>
      </c>
      <c r="X22" s="39">
        <f t="shared" si="12"/>
        <v>2095.5028087911869</v>
      </c>
      <c r="Y22" s="39">
        <f t="shared" si="12"/>
        <v>2095.2484300798278</v>
      </c>
      <c r="Z22" s="39">
        <f t="shared" si="12"/>
        <v>2094.9940513684683</v>
      </c>
      <c r="AA22" s="39">
        <f t="shared" si="12"/>
        <v>2094.7396726571092</v>
      </c>
      <c r="AB22" s="39">
        <f>SUM(AB12:AB21)</f>
        <v>8555.5825968224017</v>
      </c>
    </row>
    <row r="23" spans="1:28" x14ac:dyDescent="0.25">
      <c r="A23" s="37" t="s">
        <v>106</v>
      </c>
      <c r="B23" s="41" t="s">
        <v>130</v>
      </c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</row>
    <row r="24" spans="1:28" x14ac:dyDescent="0.25">
      <c r="A24" s="37" t="s">
        <v>106</v>
      </c>
      <c r="B24" s="41" t="s">
        <v>131</v>
      </c>
      <c r="C24" s="38"/>
      <c r="D24" s="38">
        <f t="shared" ref="D24:J24" si="13">IF(D22&lt;1,(-D22),(0))</f>
        <v>1344.9316087153629</v>
      </c>
      <c r="E24" s="38">
        <f t="shared" si="13"/>
        <v>2629.7370246820537</v>
      </c>
      <c r="F24" s="38">
        <f t="shared" si="13"/>
        <v>835.32687151052596</v>
      </c>
      <c r="G24" s="38">
        <f t="shared" si="13"/>
        <v>0</v>
      </c>
      <c r="H24" s="38">
        <f t="shared" si="13"/>
        <v>0</v>
      </c>
      <c r="I24" s="38">
        <f t="shared" si="13"/>
        <v>0</v>
      </c>
      <c r="J24" s="38">
        <f t="shared" si="13"/>
        <v>0</v>
      </c>
      <c r="K24" s="38">
        <f t="shared" ref="K24:AB24" si="14">IF(K22&lt;1,(-K22),(0))</f>
        <v>0</v>
      </c>
      <c r="L24" s="38">
        <f t="shared" si="14"/>
        <v>0</v>
      </c>
      <c r="M24" s="38">
        <f t="shared" si="14"/>
        <v>0</v>
      </c>
      <c r="N24" s="38">
        <f t="shared" si="14"/>
        <v>0</v>
      </c>
      <c r="O24" s="38">
        <f t="shared" si="14"/>
        <v>0</v>
      </c>
      <c r="P24" s="38">
        <f t="shared" si="14"/>
        <v>0</v>
      </c>
      <c r="Q24" s="38">
        <f t="shared" si="14"/>
        <v>0</v>
      </c>
      <c r="R24" s="38">
        <f t="shared" si="14"/>
        <v>0</v>
      </c>
      <c r="S24" s="38">
        <f t="shared" si="14"/>
        <v>0</v>
      </c>
      <c r="T24" s="38">
        <f t="shared" si="14"/>
        <v>0</v>
      </c>
      <c r="U24" s="38">
        <f t="shared" si="14"/>
        <v>0</v>
      </c>
      <c r="V24" s="38">
        <f t="shared" si="14"/>
        <v>0</v>
      </c>
      <c r="W24" s="38">
        <f t="shared" si="14"/>
        <v>0</v>
      </c>
      <c r="X24" s="38">
        <f t="shared" si="14"/>
        <v>0</v>
      </c>
      <c r="Y24" s="38">
        <f t="shared" si="14"/>
        <v>0</v>
      </c>
      <c r="Z24" s="38">
        <f t="shared" si="14"/>
        <v>0</v>
      </c>
      <c r="AA24" s="38">
        <f t="shared" si="14"/>
        <v>0</v>
      </c>
      <c r="AB24" s="38">
        <f t="shared" si="14"/>
        <v>0</v>
      </c>
    </row>
    <row r="25" spans="1:28" x14ac:dyDescent="0.25">
      <c r="A25" s="37" t="s">
        <v>110</v>
      </c>
      <c r="B25" s="17" t="s">
        <v>132</v>
      </c>
      <c r="C25" s="39">
        <f t="shared" ref="C25:J25" si="15">SUM(C22:C24)</f>
        <v>-24822.395161141605</v>
      </c>
      <c r="D25" s="39">
        <f t="shared" si="15"/>
        <v>0</v>
      </c>
      <c r="E25" s="39">
        <f t="shared" si="15"/>
        <v>0</v>
      </c>
      <c r="F25" s="39">
        <f t="shared" si="15"/>
        <v>0</v>
      </c>
      <c r="G25" s="39">
        <f t="shared" si="15"/>
        <v>1998.6306713930098</v>
      </c>
      <c r="H25" s="39">
        <f t="shared" si="15"/>
        <v>2876.1272166752569</v>
      </c>
      <c r="I25" s="39">
        <f t="shared" si="15"/>
        <v>2875.7787526870925</v>
      </c>
      <c r="J25" s="39">
        <f t="shared" si="15"/>
        <v>2875.4302886989299</v>
      </c>
      <c r="K25" s="39">
        <f t="shared" ref="K25:AB25" si="16">SUM(K22:K24)</f>
        <v>2875.0818247107654</v>
      </c>
      <c r="L25" s="39">
        <f t="shared" si="16"/>
        <v>2874.7333607226024</v>
      </c>
      <c r="M25" s="39">
        <f t="shared" si="16"/>
        <v>2869.4676044552075</v>
      </c>
      <c r="N25" s="39">
        <f t="shared" si="16"/>
        <v>2098.046595904781</v>
      </c>
      <c r="O25" s="39">
        <f t="shared" si="16"/>
        <v>2097.7922171934215</v>
      </c>
      <c r="P25" s="39">
        <f t="shared" si="16"/>
        <v>2097.5378384820624</v>
      </c>
      <c r="Q25" s="39">
        <f t="shared" si="16"/>
        <v>2097.2834597707028</v>
      </c>
      <c r="R25" s="39">
        <f t="shared" si="16"/>
        <v>2097.0290810593433</v>
      </c>
      <c r="S25" s="39">
        <f t="shared" si="16"/>
        <v>2096.7747023479842</v>
      </c>
      <c r="T25" s="39">
        <f t="shared" si="16"/>
        <v>2096.5203236366247</v>
      </c>
      <c r="U25" s="39">
        <f t="shared" si="16"/>
        <v>2096.2659449252651</v>
      </c>
      <c r="V25" s="39">
        <f t="shared" si="16"/>
        <v>2096.011566213906</v>
      </c>
      <c r="W25" s="39">
        <f t="shared" si="16"/>
        <v>2095.7571875025465</v>
      </c>
      <c r="X25" s="39">
        <f t="shared" si="16"/>
        <v>2095.5028087911869</v>
      </c>
      <c r="Y25" s="39">
        <f t="shared" si="16"/>
        <v>2095.2484300798278</v>
      </c>
      <c r="Z25" s="39">
        <f t="shared" si="16"/>
        <v>2094.9940513684683</v>
      </c>
      <c r="AA25" s="39">
        <f t="shared" si="16"/>
        <v>2094.7396726571092</v>
      </c>
      <c r="AB25" s="39">
        <f t="shared" si="16"/>
        <v>8555.5825968224017</v>
      </c>
    </row>
    <row r="26" spans="1:28" x14ac:dyDescent="0.25">
      <c r="A26" s="15"/>
      <c r="B26" s="41" t="s">
        <v>133</v>
      </c>
      <c r="C26" s="25">
        <f>C25</f>
        <v>-24822.395161141605</v>
      </c>
      <c r="D26" s="38">
        <f t="shared" ref="D26:J26" si="17">D25/(1+0.1)^D1</f>
        <v>0</v>
      </c>
      <c r="E26" s="38">
        <f t="shared" si="17"/>
        <v>0</v>
      </c>
      <c r="F26" s="38">
        <f t="shared" si="17"/>
        <v>0</v>
      </c>
      <c r="G26" s="38">
        <f t="shared" si="17"/>
        <v>1365.0916408667504</v>
      </c>
      <c r="H26" s="38">
        <f t="shared" si="17"/>
        <v>1785.8487166644454</v>
      </c>
      <c r="I26" s="38">
        <f t="shared" si="17"/>
        <v>1623.3021344944325</v>
      </c>
      <c r="J26" s="38">
        <f t="shared" si="17"/>
        <v>1475.5503960523199</v>
      </c>
      <c r="K26" s="38">
        <f t="shared" ref="K26:AB26" si="18">K25/(1+0.1)^K1</f>
        <v>1341.2468899344385</v>
      </c>
      <c r="L26" s="38">
        <f t="shared" si="18"/>
        <v>1219.1675717383846</v>
      </c>
      <c r="M26" s="38">
        <f t="shared" si="18"/>
        <v>1106.3039791331385</v>
      </c>
      <c r="N26" s="38">
        <f t="shared" si="18"/>
        <v>735.35253269232737</v>
      </c>
      <c r="O26" s="38">
        <f t="shared" si="18"/>
        <v>668.42124955076179</v>
      </c>
      <c r="P26" s="38">
        <f t="shared" si="18"/>
        <v>607.58199695813937</v>
      </c>
      <c r="Q26" s="38">
        <f t="shared" si="18"/>
        <v>552.28028409681372</v>
      </c>
      <c r="R26" s="38">
        <f t="shared" si="18"/>
        <v>502.01208930152967</v>
      </c>
      <c r="S26" s="38">
        <f t="shared" si="18"/>
        <v>456.31926641863771</v>
      </c>
      <c r="T26" s="38">
        <f t="shared" si="18"/>
        <v>414.78536927229192</v>
      </c>
      <c r="U26" s="38">
        <f t="shared" si="18"/>
        <v>377.03185618215247</v>
      </c>
      <c r="V26" s="38">
        <f t="shared" si="18"/>
        <v>342.71463994086247</v>
      </c>
      <c r="W26" s="38">
        <f t="shared" si="18"/>
        <v>311.52095180805367</v>
      </c>
      <c r="X26" s="38">
        <f t="shared" si="18"/>
        <v>283.16649093955004</v>
      </c>
      <c r="Y26" s="38">
        <f t="shared" si="18"/>
        <v>257.39283327186484</v>
      </c>
      <c r="Z26" s="38">
        <f t="shared" si="18"/>
        <v>233.96507624673768</v>
      </c>
      <c r="AA26" s="38">
        <f t="shared" si="18"/>
        <v>212.66969790988279</v>
      </c>
      <c r="AB26" s="38">
        <f t="shared" si="18"/>
        <v>789.64603576004129</v>
      </c>
    </row>
    <row r="27" spans="1:28" x14ac:dyDescent="0.25">
      <c r="A27" s="15"/>
      <c r="B27" s="41" t="s">
        <v>134</v>
      </c>
      <c r="C27" s="25">
        <f>C25</f>
        <v>-24822.395161141605</v>
      </c>
      <c r="D27" s="38">
        <f t="shared" ref="D27:K27" si="19">D26+C27</f>
        <v>-24822.395161141605</v>
      </c>
      <c r="E27" s="38">
        <f t="shared" si="19"/>
        <v>-24822.395161141605</v>
      </c>
      <c r="F27" s="38">
        <f t="shared" si="19"/>
        <v>-24822.395161141605</v>
      </c>
      <c r="G27" s="38">
        <f t="shared" si="19"/>
        <v>-23457.303520274854</v>
      </c>
      <c r="H27" s="38">
        <f t="shared" si="19"/>
        <v>-21671.45480361041</v>
      </c>
      <c r="I27" s="38">
        <f t="shared" si="19"/>
        <v>-20048.152669115978</v>
      </c>
      <c r="J27" s="38">
        <f t="shared" si="19"/>
        <v>-18572.602273063658</v>
      </c>
      <c r="K27" s="38">
        <f t="shared" si="19"/>
        <v>-17231.355383129219</v>
      </c>
      <c r="L27" s="38">
        <f t="shared" ref="L27:AB27" si="20">L26+K27</f>
        <v>-16012.187811390835</v>
      </c>
      <c r="M27" s="38">
        <f t="shared" si="20"/>
        <v>-14905.883832257696</v>
      </c>
      <c r="N27" s="38">
        <f t="shared" si="20"/>
        <v>-14170.531299565368</v>
      </c>
      <c r="O27" s="38">
        <f t="shared" si="20"/>
        <v>-13502.110050014606</v>
      </c>
      <c r="P27" s="38">
        <f t="shared" si="20"/>
        <v>-12894.528053056467</v>
      </c>
      <c r="Q27" s="38">
        <f t="shared" si="20"/>
        <v>-12342.247768959653</v>
      </c>
      <c r="R27" s="38">
        <f t="shared" si="20"/>
        <v>-11840.235679658123</v>
      </c>
      <c r="S27" s="38">
        <f t="shared" si="20"/>
        <v>-11383.916413239485</v>
      </c>
      <c r="T27" s="38">
        <f t="shared" si="20"/>
        <v>-10969.131043967194</v>
      </c>
      <c r="U27" s="38">
        <f t="shared" si="20"/>
        <v>-10592.099187785041</v>
      </c>
      <c r="V27" s="38">
        <f t="shared" si="20"/>
        <v>-10249.384547844178</v>
      </c>
      <c r="W27" s="38">
        <f t="shared" si="20"/>
        <v>-9937.8635960361244</v>
      </c>
      <c r="X27" s="38">
        <f t="shared" si="20"/>
        <v>-9654.6971050965749</v>
      </c>
      <c r="Y27" s="38">
        <f t="shared" si="20"/>
        <v>-9397.3042718247107</v>
      </c>
      <c r="Z27" s="38">
        <f t="shared" si="20"/>
        <v>-9163.3391955779734</v>
      </c>
      <c r="AA27" s="38">
        <f t="shared" si="20"/>
        <v>-8950.6694976680901</v>
      </c>
      <c r="AB27" s="38">
        <f t="shared" si="20"/>
        <v>-8161.0234619080493</v>
      </c>
    </row>
    <row r="29" spans="1:28" x14ac:dyDescent="0.25">
      <c r="B29" s="12" t="s">
        <v>135</v>
      </c>
      <c r="C29" s="26">
        <f>NPV(0.1,D25:AB25)+C25</f>
        <v>-8161.0234619080511</v>
      </c>
      <c r="D29" s="6"/>
      <c r="E29" s="6"/>
    </row>
    <row r="30" spans="1:28" x14ac:dyDescent="0.25">
      <c r="B30" s="12" t="s">
        <v>139</v>
      </c>
      <c r="C30" s="45">
        <f>IRR(C25:AB25)</f>
        <v>6.2834841207137337E-2</v>
      </c>
    </row>
    <row r="31" spans="1:28" x14ac:dyDescent="0.25">
      <c r="B31" s="12" t="s">
        <v>140</v>
      </c>
      <c r="C31" s="98" t="s">
        <v>142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D11" sqref="D11"/>
    </sheetView>
  </sheetViews>
  <sheetFormatPr baseColWidth="10" defaultColWidth="11.42578125" defaultRowHeight="15" x14ac:dyDescent="0.25"/>
  <sheetData>
    <row r="1" spans="1:11" x14ac:dyDescent="0.25">
      <c r="A1" s="15" t="s">
        <v>162</v>
      </c>
      <c r="B1" s="16">
        <f>'Flujo de Caja Puro'!D24</f>
        <v>1344.9316087153629</v>
      </c>
    </row>
    <row r="2" spans="1:11" x14ac:dyDescent="0.25">
      <c r="A2" s="15" t="s">
        <v>164</v>
      </c>
      <c r="B2" s="47">
        <f>IF(B1&gt;2000,0.0487,0.0509)</f>
        <v>5.0900000000000001E-2</v>
      </c>
      <c r="C2" s="11"/>
      <c r="H2" s="159" t="s">
        <v>169</v>
      </c>
      <c r="I2" s="159" t="s">
        <v>164</v>
      </c>
      <c r="J2" s="159" t="s">
        <v>165</v>
      </c>
      <c r="K2" s="159" t="s">
        <v>166</v>
      </c>
    </row>
    <row r="3" spans="1:11" x14ac:dyDescent="0.25">
      <c r="A3" s="15" t="s">
        <v>167</v>
      </c>
      <c r="B3" s="15">
        <v>1</v>
      </c>
      <c r="H3" s="46">
        <v>2</v>
      </c>
      <c r="I3" s="108">
        <f>B2</f>
        <v>5.0900000000000001E-2</v>
      </c>
      <c r="J3" s="25">
        <f>D7</f>
        <v>68.45701888361198</v>
      </c>
      <c r="K3" s="25">
        <f>E7</f>
        <v>1344.9316087153629</v>
      </c>
    </row>
    <row r="4" spans="1:11" x14ac:dyDescent="0.25">
      <c r="A4" s="15" t="s">
        <v>168</v>
      </c>
      <c r="B4" s="25">
        <f>PMT(B2,B3,-B1)</f>
        <v>1413.3886275989748</v>
      </c>
      <c r="H4" s="46">
        <v>3</v>
      </c>
      <c r="I4" s="108">
        <f>B11</f>
        <v>4.87E-2</v>
      </c>
      <c r="J4" s="25">
        <f>D16</f>
        <v>128.06819310201601</v>
      </c>
      <c r="K4" s="25">
        <f>E16</f>
        <v>2629.7370246820547</v>
      </c>
    </row>
    <row r="5" spans="1:11" x14ac:dyDescent="0.25">
      <c r="H5" s="46">
        <v>4</v>
      </c>
      <c r="I5" s="108">
        <f>B20</f>
        <v>5.0900000000000001E-2</v>
      </c>
      <c r="J5" s="25">
        <f>D25</f>
        <v>42.518137759885775</v>
      </c>
      <c r="K5" s="25">
        <f>E25</f>
        <v>835.32687151052596</v>
      </c>
    </row>
    <row r="6" spans="1:11" x14ac:dyDescent="0.25">
      <c r="A6" s="159" t="s">
        <v>169</v>
      </c>
      <c r="B6" s="159" t="s">
        <v>170</v>
      </c>
      <c r="C6" s="159" t="s">
        <v>168</v>
      </c>
      <c r="D6" s="159" t="s">
        <v>165</v>
      </c>
      <c r="E6" s="159" t="s">
        <v>166</v>
      </c>
      <c r="F6" s="159" t="s">
        <v>171</v>
      </c>
      <c r="H6" s="46">
        <v>5</v>
      </c>
      <c r="I6" s="108"/>
      <c r="J6" s="25"/>
      <c r="K6" s="25"/>
    </row>
    <row r="7" spans="1:11" x14ac:dyDescent="0.25">
      <c r="A7" s="46">
        <v>2</v>
      </c>
      <c r="B7" s="16">
        <f>B1</f>
        <v>1344.9316087153629</v>
      </c>
      <c r="C7" s="25">
        <f>B4</f>
        <v>1413.3886275989748</v>
      </c>
      <c r="D7" s="25">
        <f>B7*B2</f>
        <v>68.45701888361198</v>
      </c>
      <c r="E7" s="25">
        <f>C7-D7</f>
        <v>1344.9316087153629</v>
      </c>
      <c r="F7" s="16">
        <f>B7-E7</f>
        <v>0</v>
      </c>
      <c r="H7" s="46">
        <v>6</v>
      </c>
      <c r="I7" s="108"/>
      <c r="J7" s="25"/>
      <c r="K7" s="25"/>
    </row>
    <row r="8" spans="1:11" x14ac:dyDescent="0.25">
      <c r="A8" s="61"/>
      <c r="B8" s="62"/>
      <c r="C8" s="63"/>
      <c r="D8" s="63"/>
      <c r="E8" s="63"/>
      <c r="F8" s="62"/>
      <c r="H8" s="109">
        <v>7</v>
      </c>
      <c r="I8" s="108"/>
      <c r="J8" s="14"/>
      <c r="K8" s="14"/>
    </row>
    <row r="9" spans="1:11" x14ac:dyDescent="0.25">
      <c r="A9" s="58"/>
      <c r="B9" s="59"/>
      <c r="C9" s="60"/>
      <c r="D9" s="60"/>
      <c r="E9" s="60"/>
      <c r="F9" s="59"/>
      <c r="H9" s="109">
        <v>8</v>
      </c>
      <c r="I9" s="108"/>
      <c r="J9" s="14"/>
      <c r="K9" s="14"/>
    </row>
    <row r="10" spans="1:11" x14ac:dyDescent="0.25">
      <c r="A10" s="15" t="s">
        <v>162</v>
      </c>
      <c r="B10" s="16">
        <f>'Flujo de Caja Puro'!E24</f>
        <v>2629.7370246820537</v>
      </c>
    </row>
    <row r="11" spans="1:11" x14ac:dyDescent="0.25">
      <c r="A11" s="15" t="s">
        <v>164</v>
      </c>
      <c r="B11" s="47">
        <f>IF(B10&gt;2000,0.0487,0.0509)</f>
        <v>4.87E-2</v>
      </c>
      <c r="C11" s="11"/>
    </row>
    <row r="12" spans="1:11" x14ac:dyDescent="0.25">
      <c r="A12" s="15" t="s">
        <v>167</v>
      </c>
      <c r="B12" s="15">
        <v>1</v>
      </c>
    </row>
    <row r="13" spans="1:11" x14ac:dyDescent="0.25">
      <c r="A13" s="15" t="s">
        <v>168</v>
      </c>
      <c r="B13" s="25">
        <f>PMT(B11,B12,-B10)</f>
        <v>2757.8052177840705</v>
      </c>
    </row>
    <row r="15" spans="1:11" x14ac:dyDescent="0.25">
      <c r="A15" s="159" t="s">
        <v>169</v>
      </c>
      <c r="B15" s="159" t="s">
        <v>170</v>
      </c>
      <c r="C15" s="159" t="s">
        <v>168</v>
      </c>
      <c r="D15" s="159" t="s">
        <v>165</v>
      </c>
      <c r="E15" s="159" t="s">
        <v>166</v>
      </c>
      <c r="F15" s="159" t="s">
        <v>171</v>
      </c>
    </row>
    <row r="16" spans="1:11" x14ac:dyDescent="0.25">
      <c r="A16" s="46">
        <v>3</v>
      </c>
      <c r="B16" s="16">
        <f>B10</f>
        <v>2629.7370246820537</v>
      </c>
      <c r="C16" s="25">
        <f>B13</f>
        <v>2757.8052177840705</v>
      </c>
      <c r="D16" s="25">
        <f>B16*B11</f>
        <v>128.06819310201601</v>
      </c>
      <c r="E16" s="25">
        <f>C16-D16</f>
        <v>2629.7370246820547</v>
      </c>
      <c r="F16" s="16">
        <f>B16-E16</f>
        <v>0</v>
      </c>
    </row>
    <row r="19" spans="1:6" x14ac:dyDescent="0.25">
      <c r="A19" s="15" t="s">
        <v>162</v>
      </c>
      <c r="B19" s="16">
        <f>'Flujo de Caja Puro'!F24</f>
        <v>835.32687151052596</v>
      </c>
    </row>
    <row r="20" spans="1:6" x14ac:dyDescent="0.25">
      <c r="A20" s="15" t="s">
        <v>164</v>
      </c>
      <c r="B20" s="47">
        <f>IF(B19&gt;2000,0.0487,0.0509)</f>
        <v>5.0900000000000001E-2</v>
      </c>
      <c r="C20" s="11"/>
    </row>
    <row r="21" spans="1:6" x14ac:dyDescent="0.25">
      <c r="A21" s="15" t="s">
        <v>167</v>
      </c>
      <c r="B21" s="15">
        <v>1</v>
      </c>
    </row>
    <row r="22" spans="1:6" x14ac:dyDescent="0.25">
      <c r="A22" s="15" t="s">
        <v>168</v>
      </c>
      <c r="B22" s="25">
        <f>PMT(B20,B21,-B19)</f>
        <v>877.84500927041177</v>
      </c>
    </row>
    <row r="24" spans="1:6" x14ac:dyDescent="0.25">
      <c r="A24" s="159" t="s">
        <v>169</v>
      </c>
      <c r="B24" s="159" t="s">
        <v>170</v>
      </c>
      <c r="C24" s="159" t="s">
        <v>168</v>
      </c>
      <c r="D24" s="159" t="s">
        <v>165</v>
      </c>
      <c r="E24" s="159" t="s">
        <v>166</v>
      </c>
      <c r="F24" s="159" t="s">
        <v>171</v>
      </c>
    </row>
    <row r="25" spans="1:6" x14ac:dyDescent="0.25">
      <c r="A25" s="46">
        <v>4</v>
      </c>
      <c r="B25" s="16">
        <f>B19</f>
        <v>835.32687151052596</v>
      </c>
      <c r="C25" s="25">
        <f>B22</f>
        <v>877.84500927041177</v>
      </c>
      <c r="D25" s="25">
        <f>B25*B20</f>
        <v>42.518137759885775</v>
      </c>
      <c r="E25" s="25">
        <f>C25-D25</f>
        <v>835.32687151052596</v>
      </c>
      <c r="F25" s="16">
        <f>B25-E25</f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1"/>
  <sheetViews>
    <sheetView workbookViewId="0">
      <pane xSplit="3" ySplit="4" topLeftCell="D19" activePane="bottomRight" state="frozen"/>
      <selection pane="topRight" activeCell="D1" sqref="D1"/>
      <selection pane="bottomLeft" activeCell="A5" sqref="A5"/>
      <selection pane="bottomRight" activeCell="T36" sqref="T36"/>
    </sheetView>
  </sheetViews>
  <sheetFormatPr baseColWidth="10" defaultColWidth="11.42578125" defaultRowHeight="15" x14ac:dyDescent="0.25"/>
  <cols>
    <col min="1" max="1" width="3.42578125" bestFit="1" customWidth="1"/>
    <col min="2" max="2" width="18.7109375" bestFit="1" customWidth="1"/>
    <col min="3" max="3" width="10.140625" bestFit="1" customWidth="1"/>
    <col min="4" max="28" width="9.7109375" bestFit="1" customWidth="1"/>
  </cols>
  <sheetData>
    <row r="1" spans="1:28" x14ac:dyDescent="0.25">
      <c r="A1" s="37"/>
      <c r="B1" s="15"/>
      <c r="C1" s="15">
        <v>0</v>
      </c>
      <c r="D1" s="15">
        <v>1</v>
      </c>
      <c r="E1" s="15">
        <v>2</v>
      </c>
      <c r="F1" s="15">
        <v>3</v>
      </c>
      <c r="G1" s="15">
        <v>4</v>
      </c>
      <c r="H1" s="15">
        <v>5</v>
      </c>
      <c r="I1" s="15">
        <v>6</v>
      </c>
      <c r="J1" s="15">
        <v>7</v>
      </c>
      <c r="K1" s="15">
        <v>8</v>
      </c>
      <c r="L1" s="15">
        <v>9</v>
      </c>
      <c r="M1" s="15">
        <v>10</v>
      </c>
      <c r="N1" s="15">
        <v>11</v>
      </c>
      <c r="O1" s="15">
        <v>12</v>
      </c>
      <c r="P1" s="15">
        <v>13</v>
      </c>
      <c r="Q1" s="15">
        <v>14</v>
      </c>
      <c r="R1" s="15">
        <v>15</v>
      </c>
      <c r="S1" s="15">
        <v>16</v>
      </c>
      <c r="T1" s="15">
        <v>17</v>
      </c>
      <c r="U1" s="15">
        <v>18</v>
      </c>
      <c r="V1" s="15">
        <v>19</v>
      </c>
      <c r="W1" s="15">
        <v>20</v>
      </c>
      <c r="X1" s="15">
        <v>21</v>
      </c>
      <c r="Y1" s="15">
        <v>22</v>
      </c>
      <c r="Z1" s="15">
        <v>23</v>
      </c>
      <c r="AA1" s="15">
        <v>24</v>
      </c>
      <c r="AB1" s="15">
        <v>25</v>
      </c>
    </row>
    <row r="2" spans="1:28" x14ac:dyDescent="0.25">
      <c r="A2" s="37" t="s">
        <v>106</v>
      </c>
      <c r="B2" s="15" t="s">
        <v>107</v>
      </c>
      <c r="C2" s="38"/>
      <c r="D2" s="38">
        <v>0</v>
      </c>
      <c r="E2" s="38">
        <v>0</v>
      </c>
      <c r="F2" s="38">
        <f>Ingresos!I2</f>
        <v>4771.728991890197</v>
      </c>
      <c r="G2" s="38">
        <f>Ingresos!$H$2</f>
        <v>5726.0747902682369</v>
      </c>
      <c r="H2" s="38">
        <f>Ingresos!$H$2</f>
        <v>5726.0747902682369</v>
      </c>
      <c r="I2" s="38">
        <f>Ingresos!$H$2</f>
        <v>5726.0747902682369</v>
      </c>
      <c r="J2" s="38">
        <f>Ingresos!$H$2</f>
        <v>5726.0747902682369</v>
      </c>
      <c r="K2" s="38">
        <f>Ingresos!$H$2</f>
        <v>5726.0747902682369</v>
      </c>
      <c r="L2" s="38">
        <f>Ingresos!$H$2</f>
        <v>5726.0747902682369</v>
      </c>
      <c r="M2" s="38">
        <f>Ingresos!$H$2</f>
        <v>5726.0747902682369</v>
      </c>
      <c r="N2" s="38">
        <f>Ingresos!$H$2</f>
        <v>5726.0747902682369</v>
      </c>
      <c r="O2" s="38">
        <f>Ingresos!$H$2</f>
        <v>5726.0747902682369</v>
      </c>
      <c r="P2" s="38">
        <f>Ingresos!$H$2</f>
        <v>5726.0747902682369</v>
      </c>
      <c r="Q2" s="38">
        <f>Ingresos!$H$2</f>
        <v>5726.0747902682369</v>
      </c>
      <c r="R2" s="38">
        <f>Ingresos!$H$2</f>
        <v>5726.0747902682369</v>
      </c>
      <c r="S2" s="38">
        <f>Ingresos!$H$2</f>
        <v>5726.0747902682369</v>
      </c>
      <c r="T2" s="38">
        <f>Ingresos!$H$2</f>
        <v>5726.0747902682369</v>
      </c>
      <c r="U2" s="38">
        <f>Ingresos!$H$2</f>
        <v>5726.0747902682369</v>
      </c>
      <c r="V2" s="38">
        <f>Ingresos!$H$2</f>
        <v>5726.0747902682369</v>
      </c>
      <c r="W2" s="38">
        <f>Ingresos!$H$2</f>
        <v>5726.0747902682369</v>
      </c>
      <c r="X2" s="38">
        <f>Ingresos!$H$2</f>
        <v>5726.0747902682369</v>
      </c>
      <c r="Y2" s="38">
        <f>Ingresos!$H$2</f>
        <v>5726.0747902682369</v>
      </c>
      <c r="Z2" s="38">
        <f>Ingresos!$H$2</f>
        <v>5726.0747902682369</v>
      </c>
      <c r="AA2" s="38">
        <f>Ingresos!$H$2</f>
        <v>5726.0747902682369</v>
      </c>
      <c r="AB2" s="38">
        <f>Ingresos!$H$2+'capital de trabajo meses'!D2*2</f>
        <v>6680.4205886462769</v>
      </c>
    </row>
    <row r="3" spans="1:28" x14ac:dyDescent="0.25">
      <c r="A3" s="37" t="s">
        <v>108</v>
      </c>
      <c r="B3" s="15" t="s">
        <v>109</v>
      </c>
      <c r="C3" s="38"/>
      <c r="D3" s="38">
        <f>-'gastos de personal'!C32</f>
        <v>-1344.9316087153632</v>
      </c>
      <c r="E3" s="38">
        <f>-'gastos de personal'!C33</f>
        <v>-1216.3483970830775</v>
      </c>
      <c r="F3" s="38">
        <f>-'gastos de personal'!C34</f>
        <v>-2849.2506456166534</v>
      </c>
      <c r="G3" s="38">
        <f>F3-'gastos de personal'!$D$36</f>
        <v>-2849.5991096048169</v>
      </c>
      <c r="H3" s="38">
        <f>G3-'gastos de personal'!$D$36</f>
        <v>-2849.9475735929805</v>
      </c>
      <c r="I3" s="38">
        <f>H3-'gastos de personal'!$D$36</f>
        <v>-2850.296037581144</v>
      </c>
      <c r="J3" s="38">
        <f>I3-'gastos de personal'!$D$36</f>
        <v>-2850.6445015693075</v>
      </c>
      <c r="K3" s="38">
        <f>J3-'gastos de personal'!$D$36</f>
        <v>-2850.9929655574711</v>
      </c>
      <c r="L3" s="38">
        <f>K3-'gastos de personal'!$D$36</f>
        <v>-2851.3414295456346</v>
      </c>
      <c r="M3" s="38">
        <f>L3-'gastos de personal'!$D$36</f>
        <v>-2851.6898935337981</v>
      </c>
      <c r="N3" s="38">
        <f>M3-'gastos de personal'!$D$36</f>
        <v>-2852.0383575219616</v>
      </c>
      <c r="O3" s="38">
        <f>N3-'gastos de personal'!$D$36</f>
        <v>-2852.3868215101252</v>
      </c>
      <c r="P3" s="38">
        <f>O3-'gastos de personal'!$D$36</f>
        <v>-2852.7352854982887</v>
      </c>
      <c r="Q3" s="38">
        <f>P3-'gastos de personal'!$D$36</f>
        <v>-2853.0837494864522</v>
      </c>
      <c r="R3" s="38">
        <f>Q3-'gastos de personal'!$D$36</f>
        <v>-2853.4322134746158</v>
      </c>
      <c r="S3" s="38">
        <f>R3-'gastos de personal'!$D$36</f>
        <v>-2853.7806774627793</v>
      </c>
      <c r="T3" s="38">
        <f>S3-'gastos de personal'!$D$36</f>
        <v>-2854.1291414509428</v>
      </c>
      <c r="U3" s="38">
        <f>T3-'gastos de personal'!$D$36</f>
        <v>-2854.4776054391064</v>
      </c>
      <c r="V3" s="38">
        <f>U3-'gastos de personal'!$D$36</f>
        <v>-2854.8260694272699</v>
      </c>
      <c r="W3" s="38">
        <f>V3-'gastos de personal'!$D$36</f>
        <v>-2855.1745334154334</v>
      </c>
      <c r="X3" s="38">
        <f>W3-'gastos de personal'!$D$36</f>
        <v>-2855.5229974035969</v>
      </c>
      <c r="Y3" s="38">
        <f>X3-'gastos de personal'!$D$36</f>
        <v>-2855.8714613917605</v>
      </c>
      <c r="Z3" s="38">
        <f>Y3-'gastos de personal'!$D$36</f>
        <v>-2856.219925379924</v>
      </c>
      <c r="AA3" s="38">
        <f>Z3-'gastos de personal'!$D$36</f>
        <v>-2856.5683893680875</v>
      </c>
      <c r="AB3" s="38">
        <f>AA3-'gastos de personal'!$D$36</f>
        <v>-2856.9168533562511</v>
      </c>
    </row>
    <row r="4" spans="1:28" x14ac:dyDescent="0.25">
      <c r="A4" s="37" t="s">
        <v>110</v>
      </c>
      <c r="B4" s="17" t="s">
        <v>111</v>
      </c>
      <c r="C4" s="39"/>
      <c r="D4" s="39">
        <f>SUM(D2+D3)</f>
        <v>-1344.9316087153632</v>
      </c>
      <c r="E4" s="39">
        <f t="shared" ref="E4:AB4" si="0">SUM(E2+E3)</f>
        <v>-1216.3483970830775</v>
      </c>
      <c r="F4" s="39">
        <f t="shared" si="0"/>
        <v>1922.4783462735436</v>
      </c>
      <c r="G4" s="39">
        <f t="shared" si="0"/>
        <v>2876.47568066342</v>
      </c>
      <c r="H4" s="39">
        <f t="shared" si="0"/>
        <v>2876.1272166752565</v>
      </c>
      <c r="I4" s="39">
        <f t="shared" si="0"/>
        <v>2875.7787526870929</v>
      </c>
      <c r="J4" s="39">
        <f t="shared" si="0"/>
        <v>2875.4302886989294</v>
      </c>
      <c r="K4" s="39">
        <f t="shared" si="0"/>
        <v>2875.0818247107659</v>
      </c>
      <c r="L4" s="39">
        <f t="shared" si="0"/>
        <v>2874.7333607226024</v>
      </c>
      <c r="M4" s="39">
        <f t="shared" si="0"/>
        <v>2874.3848967344388</v>
      </c>
      <c r="N4" s="39">
        <f t="shared" si="0"/>
        <v>2874.0364327462753</v>
      </c>
      <c r="O4" s="39">
        <f t="shared" si="0"/>
        <v>2873.6879687581118</v>
      </c>
      <c r="P4" s="39">
        <f t="shared" si="0"/>
        <v>2873.3395047699482</v>
      </c>
      <c r="Q4" s="39">
        <f t="shared" si="0"/>
        <v>2872.9910407817847</v>
      </c>
      <c r="R4" s="39">
        <f t="shared" si="0"/>
        <v>2872.6425767936212</v>
      </c>
      <c r="S4" s="39">
        <f t="shared" si="0"/>
        <v>2872.2941128054576</v>
      </c>
      <c r="T4" s="39">
        <f t="shared" si="0"/>
        <v>2871.9456488172941</v>
      </c>
      <c r="U4" s="39">
        <f t="shared" si="0"/>
        <v>2871.5971848291306</v>
      </c>
      <c r="V4" s="39">
        <f t="shared" si="0"/>
        <v>2871.2487208409671</v>
      </c>
      <c r="W4" s="39">
        <f t="shared" si="0"/>
        <v>2870.9002568528035</v>
      </c>
      <c r="X4" s="39">
        <f t="shared" si="0"/>
        <v>2870.55179286464</v>
      </c>
      <c r="Y4" s="39">
        <f t="shared" si="0"/>
        <v>2870.2033288764765</v>
      </c>
      <c r="Z4" s="39">
        <f t="shared" si="0"/>
        <v>2869.8548648883129</v>
      </c>
      <c r="AA4" s="39">
        <f t="shared" si="0"/>
        <v>2869.5064009001494</v>
      </c>
      <c r="AB4" s="39">
        <f t="shared" si="0"/>
        <v>3823.5037352900258</v>
      </c>
    </row>
    <row r="5" spans="1:28" x14ac:dyDescent="0.25">
      <c r="A5" s="37" t="s">
        <v>108</v>
      </c>
      <c r="B5" s="15" t="s">
        <v>112</v>
      </c>
      <c r="C5" s="38"/>
      <c r="D5" s="38">
        <f>-'amortización 25%'!D7</f>
        <v>-302.21266108689906</v>
      </c>
      <c r="E5" s="38">
        <f>-'amortización 25%'!D8</f>
        <v>-247.37756603427681</v>
      </c>
      <c r="F5" s="38">
        <f>-'amortización 25%'!D9</f>
        <v>-189.87200185259192</v>
      </c>
      <c r="G5" s="38">
        <f>-'amortización 25%'!D10</f>
        <v>-129.56591669525895</v>
      </c>
      <c r="H5" s="38">
        <f>-'amortización 25%'!D11</f>
        <v>-66.322925190763883</v>
      </c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</row>
    <row r="6" spans="1:28" x14ac:dyDescent="0.25">
      <c r="A6" s="37" t="s">
        <v>108</v>
      </c>
      <c r="B6" s="15" t="s">
        <v>113</v>
      </c>
      <c r="C6" s="38"/>
      <c r="D6" s="38"/>
      <c r="E6" s="38">
        <f>-'amortización 25%'!D19</f>
        <v>-135.05102099199235</v>
      </c>
      <c r="F6" s="38">
        <f>-'amortización 25%'!D28</f>
        <v>-270.41702429980245</v>
      </c>
      <c r="G6" s="38">
        <f>-'amortización 25%'!D37</f>
        <v>-259.51448956723567</v>
      </c>
      <c r="H6" s="38">
        <f>-'amortización 25%'!D46</f>
        <v>-201.62133120840568</v>
      </c>
      <c r="I6" s="38">
        <f>-'amortización 25%'!D55</f>
        <v>-140.92574623372423</v>
      </c>
      <c r="J6" s="38">
        <f>-'amortización 25%'!D64</f>
        <v>-8.087983681925234</v>
      </c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</row>
    <row r="7" spans="1:28" x14ac:dyDescent="0.25">
      <c r="A7" s="37" t="s">
        <v>108</v>
      </c>
      <c r="B7" s="15" t="s">
        <v>114</v>
      </c>
      <c r="C7" s="38"/>
      <c r="D7" s="38">
        <f>-depreciación!D14</f>
        <v>-6499.2540052194581</v>
      </c>
      <c r="E7" s="38">
        <f>-depreciación!E14</f>
        <v>-6499.2540052194581</v>
      </c>
      <c r="F7" s="38">
        <f>-depreciación!F14</f>
        <v>-6233.4468075563973</v>
      </c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</row>
    <row r="8" spans="1:28" x14ac:dyDescent="0.25">
      <c r="A8" s="40" t="s">
        <v>115</v>
      </c>
      <c r="B8" s="15" t="s">
        <v>116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</row>
    <row r="9" spans="1:28" x14ac:dyDescent="0.25">
      <c r="A9" s="37" t="s">
        <v>108</v>
      </c>
      <c r="B9" s="15" t="s">
        <v>117</v>
      </c>
      <c r="C9" s="38"/>
      <c r="D9" s="38"/>
      <c r="E9" s="38">
        <f>IF(D10&lt;1,(D10),(0))</f>
        <v>-8146.3982750217201</v>
      </c>
      <c r="F9" s="38">
        <f t="shared" ref="F9:AB9" si="1">IF(E10&lt;1,(E10),(0))</f>
        <v>-16244.429264350525</v>
      </c>
      <c r="G9" s="38">
        <f t="shared" si="1"/>
        <v>-21015.686751785775</v>
      </c>
      <c r="H9" s="38">
        <f t="shared" si="1"/>
        <v>-18528.29147738485</v>
      </c>
      <c r="I9" s="38">
        <f t="shared" si="1"/>
        <v>-15920.108517108762</v>
      </c>
      <c r="J9" s="38">
        <f t="shared" si="1"/>
        <v>-13185.255510655392</v>
      </c>
      <c r="K9" s="38">
        <f t="shared" si="1"/>
        <v>-10317.913205638388</v>
      </c>
      <c r="L9" s="38">
        <f t="shared" si="1"/>
        <v>-7442.8313809276224</v>
      </c>
      <c r="M9" s="38">
        <f t="shared" si="1"/>
        <v>-4568.0980202050196</v>
      </c>
      <c r="N9" s="38">
        <f t="shared" si="1"/>
        <v>-1693.7131234705807</v>
      </c>
      <c r="O9" s="38">
        <f t="shared" si="1"/>
        <v>0</v>
      </c>
      <c r="P9" s="38">
        <f t="shared" si="1"/>
        <v>0</v>
      </c>
      <c r="Q9" s="38">
        <f t="shared" si="1"/>
        <v>0</v>
      </c>
      <c r="R9" s="38">
        <f t="shared" si="1"/>
        <v>0</v>
      </c>
      <c r="S9" s="38">
        <f t="shared" si="1"/>
        <v>0</v>
      </c>
      <c r="T9" s="38">
        <f t="shared" si="1"/>
        <v>0</v>
      </c>
      <c r="U9" s="38">
        <f t="shared" si="1"/>
        <v>0</v>
      </c>
      <c r="V9" s="38">
        <f t="shared" si="1"/>
        <v>0</v>
      </c>
      <c r="W9" s="38">
        <f t="shared" si="1"/>
        <v>0</v>
      </c>
      <c r="X9" s="38">
        <f t="shared" si="1"/>
        <v>0</v>
      </c>
      <c r="Y9" s="38">
        <f t="shared" si="1"/>
        <v>0</v>
      </c>
      <c r="Z9" s="38">
        <f t="shared" si="1"/>
        <v>0</v>
      </c>
      <c r="AA9" s="38">
        <f t="shared" si="1"/>
        <v>0</v>
      </c>
      <c r="AB9" s="38">
        <f t="shared" si="1"/>
        <v>0</v>
      </c>
    </row>
    <row r="10" spans="1:28" x14ac:dyDescent="0.25">
      <c r="A10" s="37" t="s">
        <v>110</v>
      </c>
      <c r="B10" s="17" t="s">
        <v>118</v>
      </c>
      <c r="C10" s="39"/>
      <c r="D10" s="39">
        <f>SUM(D4:D9)</f>
        <v>-8146.3982750217201</v>
      </c>
      <c r="E10" s="39">
        <f t="shared" ref="E10:AB10" si="2">SUM(E4:E9)</f>
        <v>-16244.429264350525</v>
      </c>
      <c r="F10" s="39">
        <f t="shared" si="2"/>
        <v>-21015.686751785775</v>
      </c>
      <c r="G10" s="39">
        <f t="shared" si="2"/>
        <v>-18528.29147738485</v>
      </c>
      <c r="H10" s="39">
        <f t="shared" si="2"/>
        <v>-15920.108517108762</v>
      </c>
      <c r="I10" s="39">
        <f t="shared" si="2"/>
        <v>-13185.255510655392</v>
      </c>
      <c r="J10" s="39">
        <f t="shared" si="2"/>
        <v>-10317.913205638388</v>
      </c>
      <c r="K10" s="39">
        <f t="shared" si="2"/>
        <v>-7442.8313809276224</v>
      </c>
      <c r="L10" s="39">
        <f t="shared" si="2"/>
        <v>-4568.0980202050196</v>
      </c>
      <c r="M10" s="39">
        <f t="shared" si="2"/>
        <v>-1693.7131234705807</v>
      </c>
      <c r="N10" s="39">
        <f t="shared" si="2"/>
        <v>1180.3233092756946</v>
      </c>
      <c r="O10" s="39">
        <f t="shared" si="2"/>
        <v>2873.6879687581118</v>
      </c>
      <c r="P10" s="39">
        <f t="shared" si="2"/>
        <v>2873.3395047699482</v>
      </c>
      <c r="Q10" s="39">
        <f t="shared" si="2"/>
        <v>2872.9910407817847</v>
      </c>
      <c r="R10" s="39">
        <f t="shared" si="2"/>
        <v>2872.6425767936212</v>
      </c>
      <c r="S10" s="39">
        <f t="shared" si="2"/>
        <v>2872.2941128054576</v>
      </c>
      <c r="T10" s="39">
        <f t="shared" si="2"/>
        <v>2871.9456488172941</v>
      </c>
      <c r="U10" s="39">
        <f t="shared" si="2"/>
        <v>2871.5971848291306</v>
      </c>
      <c r="V10" s="39">
        <f t="shared" si="2"/>
        <v>2871.2487208409671</v>
      </c>
      <c r="W10" s="39">
        <f t="shared" si="2"/>
        <v>2870.9002568528035</v>
      </c>
      <c r="X10" s="39">
        <f t="shared" si="2"/>
        <v>2870.55179286464</v>
      </c>
      <c r="Y10" s="39">
        <f t="shared" si="2"/>
        <v>2870.2033288764765</v>
      </c>
      <c r="Z10" s="39">
        <f t="shared" si="2"/>
        <v>2869.8548648883129</v>
      </c>
      <c r="AA10" s="39">
        <f t="shared" si="2"/>
        <v>2869.5064009001494</v>
      </c>
      <c r="AB10" s="39">
        <f t="shared" si="2"/>
        <v>3823.5037352900258</v>
      </c>
    </row>
    <row r="11" spans="1:28" x14ac:dyDescent="0.25">
      <c r="A11" s="37" t="s">
        <v>108</v>
      </c>
      <c r="B11" s="15" t="s">
        <v>119</v>
      </c>
      <c r="C11" s="38"/>
      <c r="D11" s="38">
        <f>IF(D10&gt;0,(-D10*0.27),(0))</f>
        <v>0</v>
      </c>
      <c r="E11" s="38">
        <f t="shared" ref="E11:AB11" si="3">IF(E10&gt;0,(-E10*0.27),(0))</f>
        <v>0</v>
      </c>
      <c r="F11" s="38">
        <f t="shared" si="3"/>
        <v>0</v>
      </c>
      <c r="G11" s="38">
        <f t="shared" si="3"/>
        <v>0</v>
      </c>
      <c r="H11" s="38">
        <f t="shared" si="3"/>
        <v>0</v>
      </c>
      <c r="I11" s="38">
        <f t="shared" si="3"/>
        <v>0</v>
      </c>
      <c r="J11" s="38">
        <f t="shared" si="3"/>
        <v>0</v>
      </c>
      <c r="K11" s="38">
        <f t="shared" si="3"/>
        <v>0</v>
      </c>
      <c r="L11" s="38">
        <f t="shared" si="3"/>
        <v>0</v>
      </c>
      <c r="M11" s="38">
        <f t="shared" si="3"/>
        <v>0</v>
      </c>
      <c r="N11" s="38">
        <f t="shared" si="3"/>
        <v>-318.68729350443755</v>
      </c>
      <c r="O11" s="38">
        <f t="shared" si="3"/>
        <v>-775.89575156469027</v>
      </c>
      <c r="P11" s="38">
        <f t="shared" si="3"/>
        <v>-775.80166628788606</v>
      </c>
      <c r="Q11" s="38">
        <f t="shared" si="3"/>
        <v>-775.70758101108197</v>
      </c>
      <c r="R11" s="38">
        <f t="shared" si="3"/>
        <v>-775.61349573427776</v>
      </c>
      <c r="S11" s="38">
        <f t="shared" si="3"/>
        <v>-775.51941045747367</v>
      </c>
      <c r="T11" s="38">
        <f t="shared" si="3"/>
        <v>-775.42532518066946</v>
      </c>
      <c r="U11" s="38">
        <f t="shared" si="3"/>
        <v>-775.33123990386525</v>
      </c>
      <c r="V11" s="38">
        <f t="shared" si="3"/>
        <v>-775.23715462706116</v>
      </c>
      <c r="W11" s="38">
        <f t="shared" si="3"/>
        <v>-775.14306935025695</v>
      </c>
      <c r="X11" s="38">
        <f t="shared" si="3"/>
        <v>-775.04898407345286</v>
      </c>
      <c r="Y11" s="38">
        <f t="shared" si="3"/>
        <v>-774.95489879664865</v>
      </c>
      <c r="Z11" s="38">
        <f t="shared" si="3"/>
        <v>-774.86081351984456</v>
      </c>
      <c r="AA11" s="38">
        <f t="shared" si="3"/>
        <v>-774.76672824304035</v>
      </c>
      <c r="AB11" s="38">
        <f t="shared" si="3"/>
        <v>-1032.346008528307</v>
      </c>
    </row>
    <row r="12" spans="1:28" x14ac:dyDescent="0.25">
      <c r="A12" s="37" t="s">
        <v>110</v>
      </c>
      <c r="B12" s="17" t="s">
        <v>120</v>
      </c>
      <c r="C12" s="39"/>
      <c r="D12" s="39">
        <f>SUM(D10:D11)</f>
        <v>-8146.3982750217201</v>
      </c>
      <c r="E12" s="39">
        <f t="shared" ref="E12:AB12" si="4">SUM(E10:E11)</f>
        <v>-16244.429264350525</v>
      </c>
      <c r="F12" s="39">
        <f t="shared" si="4"/>
        <v>-21015.686751785775</v>
      </c>
      <c r="G12" s="39">
        <f t="shared" si="4"/>
        <v>-18528.29147738485</v>
      </c>
      <c r="H12" s="39">
        <f t="shared" si="4"/>
        <v>-15920.108517108762</v>
      </c>
      <c r="I12" s="39">
        <f t="shared" si="4"/>
        <v>-13185.255510655392</v>
      </c>
      <c r="J12" s="39">
        <f t="shared" si="4"/>
        <v>-10317.913205638388</v>
      </c>
      <c r="K12" s="39">
        <f t="shared" si="4"/>
        <v>-7442.8313809276224</v>
      </c>
      <c r="L12" s="39">
        <f t="shared" si="4"/>
        <v>-4568.0980202050196</v>
      </c>
      <c r="M12" s="39">
        <f t="shared" si="4"/>
        <v>-1693.7131234705807</v>
      </c>
      <c r="N12" s="39">
        <f t="shared" si="4"/>
        <v>861.63601577125701</v>
      </c>
      <c r="O12" s="39">
        <f t="shared" si="4"/>
        <v>2097.7922171934215</v>
      </c>
      <c r="P12" s="39">
        <f t="shared" si="4"/>
        <v>2097.5378384820624</v>
      </c>
      <c r="Q12" s="39">
        <f t="shared" si="4"/>
        <v>2097.2834597707028</v>
      </c>
      <c r="R12" s="39">
        <f t="shared" si="4"/>
        <v>2097.0290810593433</v>
      </c>
      <c r="S12" s="39">
        <f t="shared" si="4"/>
        <v>2096.7747023479842</v>
      </c>
      <c r="T12" s="39">
        <f t="shared" si="4"/>
        <v>2096.5203236366247</v>
      </c>
      <c r="U12" s="39">
        <f t="shared" si="4"/>
        <v>2096.2659449252651</v>
      </c>
      <c r="V12" s="39">
        <f t="shared" si="4"/>
        <v>2096.011566213906</v>
      </c>
      <c r="W12" s="39">
        <f t="shared" si="4"/>
        <v>2095.7571875025465</v>
      </c>
      <c r="X12" s="39">
        <f t="shared" si="4"/>
        <v>2095.5028087911869</v>
      </c>
      <c r="Y12" s="39">
        <f t="shared" si="4"/>
        <v>2095.2484300798278</v>
      </c>
      <c r="Z12" s="39">
        <f t="shared" si="4"/>
        <v>2094.9940513684683</v>
      </c>
      <c r="AA12" s="39">
        <f t="shared" si="4"/>
        <v>2094.7396726571092</v>
      </c>
      <c r="AB12" s="39">
        <f t="shared" si="4"/>
        <v>2791.1577267617185</v>
      </c>
    </row>
    <row r="13" spans="1:28" x14ac:dyDescent="0.25">
      <c r="A13" s="37" t="s">
        <v>106</v>
      </c>
      <c r="B13" s="15" t="s">
        <v>117</v>
      </c>
      <c r="C13" s="38"/>
      <c r="D13" s="38"/>
      <c r="E13" s="38">
        <f t="shared" ref="E13:AB13" si="5">-E9</f>
        <v>8146.3982750217201</v>
      </c>
      <c r="F13" s="38">
        <f t="shared" si="5"/>
        <v>16244.429264350525</v>
      </c>
      <c r="G13" s="38">
        <f t="shared" si="5"/>
        <v>21015.686751785775</v>
      </c>
      <c r="H13" s="38">
        <f t="shared" si="5"/>
        <v>18528.29147738485</v>
      </c>
      <c r="I13" s="38">
        <f t="shared" si="5"/>
        <v>15920.108517108762</v>
      </c>
      <c r="J13" s="38">
        <f t="shared" si="5"/>
        <v>13185.255510655392</v>
      </c>
      <c r="K13" s="38">
        <f t="shared" si="5"/>
        <v>10317.913205638388</v>
      </c>
      <c r="L13" s="38">
        <f t="shared" si="5"/>
        <v>7442.8313809276224</v>
      </c>
      <c r="M13" s="38">
        <f t="shared" si="5"/>
        <v>4568.0980202050196</v>
      </c>
      <c r="N13" s="38">
        <f t="shared" si="5"/>
        <v>1693.7131234705807</v>
      </c>
      <c r="O13" s="38">
        <f t="shared" si="5"/>
        <v>0</v>
      </c>
      <c r="P13" s="38">
        <f t="shared" si="5"/>
        <v>0</v>
      </c>
      <c r="Q13" s="38">
        <f t="shared" si="5"/>
        <v>0</v>
      </c>
      <c r="R13" s="38">
        <f t="shared" si="5"/>
        <v>0</v>
      </c>
      <c r="S13" s="38">
        <f t="shared" si="5"/>
        <v>0</v>
      </c>
      <c r="T13" s="38">
        <f t="shared" si="5"/>
        <v>0</v>
      </c>
      <c r="U13" s="38">
        <f t="shared" si="5"/>
        <v>0</v>
      </c>
      <c r="V13" s="38">
        <f t="shared" si="5"/>
        <v>0</v>
      </c>
      <c r="W13" s="38">
        <f t="shared" si="5"/>
        <v>0</v>
      </c>
      <c r="X13" s="38">
        <f t="shared" si="5"/>
        <v>0</v>
      </c>
      <c r="Y13" s="38">
        <f t="shared" si="5"/>
        <v>0</v>
      </c>
      <c r="Z13" s="38">
        <f t="shared" si="5"/>
        <v>0</v>
      </c>
      <c r="AA13" s="38">
        <f t="shared" si="5"/>
        <v>0</v>
      </c>
      <c r="AB13" s="38">
        <f t="shared" si="5"/>
        <v>0</v>
      </c>
    </row>
    <row r="14" spans="1:28" x14ac:dyDescent="0.25">
      <c r="A14" s="37" t="s">
        <v>106</v>
      </c>
      <c r="B14" s="41" t="s">
        <v>114</v>
      </c>
      <c r="C14" s="38"/>
      <c r="D14" s="38">
        <f>-D7</f>
        <v>6499.2540052194581</v>
      </c>
      <c r="E14" s="38">
        <f>-E7</f>
        <v>6499.2540052194581</v>
      </c>
      <c r="F14" s="38">
        <f>-F7</f>
        <v>6233.4468075563973</v>
      </c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</row>
    <row r="15" spans="1:28" x14ac:dyDescent="0.25">
      <c r="A15" s="37" t="s">
        <v>108</v>
      </c>
      <c r="B15" s="41" t="s">
        <v>121</v>
      </c>
      <c r="C15" s="38"/>
      <c r="D15" s="38">
        <f>-'amortización 25%'!E7</f>
        <v>-1125.9773111421396</v>
      </c>
      <c r="E15" s="38">
        <f>-'amortización 25%'!E8</f>
        <v>-1180.8124061947619</v>
      </c>
      <c r="F15" s="38">
        <f>-'amortización 25%'!E9</f>
        <v>-1238.3179703764467</v>
      </c>
      <c r="G15" s="38">
        <f>-'amortización 25%'!E10</f>
        <v>-1298.6240555337797</v>
      </c>
      <c r="H15" s="38">
        <f>-'amortización 25%'!E11</f>
        <v>-1361.8670470382747</v>
      </c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</row>
    <row r="16" spans="1:28" x14ac:dyDescent="0.25">
      <c r="A16" s="37" t="s">
        <v>108</v>
      </c>
      <c r="B16" s="41" t="s">
        <v>122</v>
      </c>
      <c r="C16" s="38"/>
      <c r="D16" s="38"/>
      <c r="E16" s="38">
        <f>-'amortización 25%'!E19</f>
        <v>-2773.121580944402</v>
      </c>
      <c r="F16" s="38">
        <f>-'amortización 25%'!E28</f>
        <v>-5552.7109712485126</v>
      </c>
      <c r="G16" s="38">
        <f>-'amortización 25%'!E37</f>
        <v>-5328.8396215038129</v>
      </c>
      <c r="H16" s="38">
        <f>-'amortización 25%'!E46</f>
        <v>-4140.068402636668</v>
      </c>
      <c r="I16" s="38">
        <f>-'amortización 25%'!E55</f>
        <v>-2893.7524893988557</v>
      </c>
      <c r="J16" s="38">
        <f>-'amortización 25%'!E64</f>
        <v>-158.89948294548594</v>
      </c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</row>
    <row r="17" spans="1:28" x14ac:dyDescent="0.25">
      <c r="A17" s="37" t="s">
        <v>106</v>
      </c>
      <c r="B17" s="41" t="s">
        <v>123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>
        <f>Inversiones!C21*2+Inversiones!F12/2+Inversiones!E17/2+Inversiones!C22/3</f>
        <v>2989.7048637790385</v>
      </c>
    </row>
    <row r="18" spans="1:28" x14ac:dyDescent="0.25">
      <c r="A18" s="37" t="s">
        <v>108</v>
      </c>
      <c r="B18" s="41" t="s">
        <v>124</v>
      </c>
      <c r="C18" s="38">
        <f>'capital de trabajo meses'!C8</f>
        <v>-2774.7200062816437</v>
      </c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>
        <f>-C18</f>
        <v>2774.7200062816437</v>
      </c>
    </row>
    <row r="19" spans="1:28" x14ac:dyDescent="0.25">
      <c r="A19" s="37" t="s">
        <v>108</v>
      </c>
      <c r="B19" s="41" t="s">
        <v>125</v>
      </c>
      <c r="C19" s="38">
        <f>-'gastos de personal'!I27</f>
        <v>-49.242003709747621</v>
      </c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</row>
    <row r="20" spans="1:28" x14ac:dyDescent="0.25">
      <c r="A20" s="37" t="s">
        <v>108</v>
      </c>
      <c r="B20" s="41" t="s">
        <v>126</v>
      </c>
      <c r="C20" s="38">
        <f>-Inversiones!B27</f>
        <v>-19998.575591954741</v>
      </c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</row>
    <row r="21" spans="1:28" x14ac:dyDescent="0.25">
      <c r="A21" s="37" t="s">
        <v>108</v>
      </c>
      <c r="B21" s="41" t="s">
        <v>128</v>
      </c>
      <c r="C21" s="38">
        <f>C20*0.1</f>
        <v>-1999.8575591954741</v>
      </c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</row>
    <row r="22" spans="1:28" x14ac:dyDescent="0.25">
      <c r="A22" s="37" t="s">
        <v>110</v>
      </c>
      <c r="B22" s="17" t="s">
        <v>129</v>
      </c>
      <c r="C22" s="39">
        <f>SUM(C18:C21)</f>
        <v>-24822.395161141605</v>
      </c>
      <c r="D22" s="39">
        <f>SUM(D12:D21)</f>
        <v>-2773.1215809444016</v>
      </c>
      <c r="E22" s="39">
        <f t="shared" ref="E22:AB22" si="6">SUM(E12:E21)</f>
        <v>-5552.7109712485108</v>
      </c>
      <c r="F22" s="39">
        <f t="shared" si="6"/>
        <v>-5328.8396215038119</v>
      </c>
      <c r="G22" s="39">
        <f t="shared" si="6"/>
        <v>-4140.0684026366671</v>
      </c>
      <c r="H22" s="39">
        <f t="shared" si="6"/>
        <v>-2893.7524893988548</v>
      </c>
      <c r="I22" s="39">
        <f t="shared" si="6"/>
        <v>-158.89948294548594</v>
      </c>
      <c r="J22" s="39">
        <f t="shared" si="6"/>
        <v>2708.4428220715181</v>
      </c>
      <c r="K22" s="39">
        <f t="shared" si="6"/>
        <v>2875.0818247107654</v>
      </c>
      <c r="L22" s="39">
        <f t="shared" si="6"/>
        <v>2874.7333607226028</v>
      </c>
      <c r="M22" s="39">
        <f t="shared" si="6"/>
        <v>2874.3848967344388</v>
      </c>
      <c r="N22" s="39">
        <f t="shared" si="6"/>
        <v>2555.3491392418377</v>
      </c>
      <c r="O22" s="39">
        <f t="shared" si="6"/>
        <v>2097.7922171934215</v>
      </c>
      <c r="P22" s="39">
        <f t="shared" si="6"/>
        <v>2097.5378384820624</v>
      </c>
      <c r="Q22" s="39">
        <f t="shared" si="6"/>
        <v>2097.2834597707028</v>
      </c>
      <c r="R22" s="39">
        <f t="shared" si="6"/>
        <v>2097.0290810593433</v>
      </c>
      <c r="S22" s="39">
        <f t="shared" si="6"/>
        <v>2096.7747023479842</v>
      </c>
      <c r="T22" s="39">
        <f t="shared" si="6"/>
        <v>2096.5203236366247</v>
      </c>
      <c r="U22" s="39">
        <f t="shared" si="6"/>
        <v>2096.2659449252651</v>
      </c>
      <c r="V22" s="39">
        <f t="shared" si="6"/>
        <v>2096.011566213906</v>
      </c>
      <c r="W22" s="39">
        <f t="shared" si="6"/>
        <v>2095.7571875025465</v>
      </c>
      <c r="X22" s="39">
        <f t="shared" si="6"/>
        <v>2095.5028087911869</v>
      </c>
      <c r="Y22" s="39">
        <f t="shared" si="6"/>
        <v>2095.2484300798278</v>
      </c>
      <c r="Z22" s="39">
        <f t="shared" si="6"/>
        <v>2094.9940513684683</v>
      </c>
      <c r="AA22" s="39">
        <f t="shared" si="6"/>
        <v>2094.7396726571092</v>
      </c>
      <c r="AB22" s="39">
        <f t="shared" si="6"/>
        <v>8555.5825968224017</v>
      </c>
    </row>
    <row r="23" spans="1:28" x14ac:dyDescent="0.25">
      <c r="A23" s="37" t="s">
        <v>106</v>
      </c>
      <c r="B23" s="41" t="s">
        <v>130</v>
      </c>
      <c r="C23" s="38">
        <f>-C22/4</f>
        <v>6205.5987902854013</v>
      </c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</row>
    <row r="24" spans="1:28" x14ac:dyDescent="0.25">
      <c r="A24" s="37" t="s">
        <v>106</v>
      </c>
      <c r="B24" s="41" t="s">
        <v>131</v>
      </c>
      <c r="C24" s="38"/>
      <c r="D24" s="38">
        <f>IF(D22&lt;1,(-D22),(0))</f>
        <v>2773.1215809444016</v>
      </c>
      <c r="E24" s="38">
        <f t="shared" ref="E24:AB24" si="7">IF(E22&lt;1,(-E22),(0))</f>
        <v>5552.7109712485108</v>
      </c>
      <c r="F24" s="38">
        <f t="shared" si="7"/>
        <v>5328.8396215038119</v>
      </c>
      <c r="G24" s="38">
        <f t="shared" si="7"/>
        <v>4140.0684026366671</v>
      </c>
      <c r="H24" s="38">
        <f t="shared" si="7"/>
        <v>2893.7524893988548</v>
      </c>
      <c r="I24" s="38">
        <f t="shared" si="7"/>
        <v>158.89948294548594</v>
      </c>
      <c r="J24" s="38">
        <f t="shared" si="7"/>
        <v>0</v>
      </c>
      <c r="K24" s="38">
        <f t="shared" si="7"/>
        <v>0</v>
      </c>
      <c r="L24" s="38">
        <f t="shared" si="7"/>
        <v>0</v>
      </c>
      <c r="M24" s="38">
        <f t="shared" si="7"/>
        <v>0</v>
      </c>
      <c r="N24" s="38">
        <f t="shared" si="7"/>
        <v>0</v>
      </c>
      <c r="O24" s="38">
        <f t="shared" si="7"/>
        <v>0</v>
      </c>
      <c r="P24" s="38">
        <f t="shared" si="7"/>
        <v>0</v>
      </c>
      <c r="Q24" s="38">
        <f t="shared" si="7"/>
        <v>0</v>
      </c>
      <c r="R24" s="38">
        <f t="shared" si="7"/>
        <v>0</v>
      </c>
      <c r="S24" s="38">
        <f t="shared" si="7"/>
        <v>0</v>
      </c>
      <c r="T24" s="38">
        <f t="shared" si="7"/>
        <v>0</v>
      </c>
      <c r="U24" s="38">
        <f t="shared" si="7"/>
        <v>0</v>
      </c>
      <c r="V24" s="38">
        <f t="shared" si="7"/>
        <v>0</v>
      </c>
      <c r="W24" s="38">
        <f t="shared" si="7"/>
        <v>0</v>
      </c>
      <c r="X24" s="38">
        <f t="shared" si="7"/>
        <v>0</v>
      </c>
      <c r="Y24" s="38">
        <f t="shared" si="7"/>
        <v>0</v>
      </c>
      <c r="Z24" s="38">
        <f t="shared" si="7"/>
        <v>0</v>
      </c>
      <c r="AA24" s="38">
        <f t="shared" si="7"/>
        <v>0</v>
      </c>
      <c r="AB24" s="38">
        <f t="shared" si="7"/>
        <v>0</v>
      </c>
    </row>
    <row r="25" spans="1:28" x14ac:dyDescent="0.25">
      <c r="A25" s="37" t="s">
        <v>110</v>
      </c>
      <c r="B25" s="17" t="s">
        <v>132</v>
      </c>
      <c r="C25" s="39">
        <f>SUM(C22:C24)</f>
        <v>-18616.796370856202</v>
      </c>
      <c r="D25" s="39">
        <f t="shared" ref="D25:AB25" si="8">SUM(D22:D24)</f>
        <v>0</v>
      </c>
      <c r="E25" s="39">
        <f t="shared" si="8"/>
        <v>0</v>
      </c>
      <c r="F25" s="39">
        <f t="shared" si="8"/>
        <v>0</v>
      </c>
      <c r="G25" s="39">
        <f t="shared" si="8"/>
        <v>0</v>
      </c>
      <c r="H25" s="39">
        <f t="shared" si="8"/>
        <v>0</v>
      </c>
      <c r="I25" s="39">
        <f t="shared" si="8"/>
        <v>0</v>
      </c>
      <c r="J25" s="39">
        <f t="shared" si="8"/>
        <v>2708.4428220715181</v>
      </c>
      <c r="K25" s="39">
        <f t="shared" si="8"/>
        <v>2875.0818247107654</v>
      </c>
      <c r="L25" s="39">
        <f t="shared" si="8"/>
        <v>2874.7333607226028</v>
      </c>
      <c r="M25" s="39">
        <f t="shared" si="8"/>
        <v>2874.3848967344388</v>
      </c>
      <c r="N25" s="39">
        <f t="shared" si="8"/>
        <v>2555.3491392418377</v>
      </c>
      <c r="O25" s="39">
        <f t="shared" si="8"/>
        <v>2097.7922171934215</v>
      </c>
      <c r="P25" s="39">
        <f t="shared" si="8"/>
        <v>2097.5378384820624</v>
      </c>
      <c r="Q25" s="39">
        <f t="shared" si="8"/>
        <v>2097.2834597707028</v>
      </c>
      <c r="R25" s="39">
        <f t="shared" si="8"/>
        <v>2097.0290810593433</v>
      </c>
      <c r="S25" s="39">
        <f t="shared" si="8"/>
        <v>2096.7747023479842</v>
      </c>
      <c r="T25" s="39">
        <f t="shared" si="8"/>
        <v>2096.5203236366247</v>
      </c>
      <c r="U25" s="39">
        <f t="shared" si="8"/>
        <v>2096.2659449252651</v>
      </c>
      <c r="V25" s="39">
        <f t="shared" si="8"/>
        <v>2096.011566213906</v>
      </c>
      <c r="W25" s="39">
        <f t="shared" si="8"/>
        <v>2095.7571875025465</v>
      </c>
      <c r="X25" s="39">
        <f t="shared" si="8"/>
        <v>2095.5028087911869</v>
      </c>
      <c r="Y25" s="39">
        <f t="shared" si="8"/>
        <v>2095.2484300798278</v>
      </c>
      <c r="Z25" s="39">
        <f t="shared" si="8"/>
        <v>2094.9940513684683</v>
      </c>
      <c r="AA25" s="39">
        <f t="shared" si="8"/>
        <v>2094.7396726571092</v>
      </c>
      <c r="AB25" s="39">
        <f t="shared" si="8"/>
        <v>8555.5825968224017</v>
      </c>
    </row>
    <row r="26" spans="1:28" x14ac:dyDescent="0.25">
      <c r="A26" s="15"/>
      <c r="B26" s="41" t="s">
        <v>133</v>
      </c>
      <c r="C26" s="25">
        <f>C25</f>
        <v>-18616.796370856202</v>
      </c>
      <c r="D26" s="38">
        <f>D25/(1+0.1)^D1</f>
        <v>0</v>
      </c>
      <c r="E26" s="38">
        <f t="shared" ref="E26:AB26" si="9">E25/(1+0.1)^E1</f>
        <v>0</v>
      </c>
      <c r="F26" s="38">
        <f t="shared" si="9"/>
        <v>0</v>
      </c>
      <c r="G26" s="38">
        <f t="shared" si="9"/>
        <v>0</v>
      </c>
      <c r="H26" s="38">
        <f t="shared" si="9"/>
        <v>0</v>
      </c>
      <c r="I26" s="38">
        <f t="shared" si="9"/>
        <v>0</v>
      </c>
      <c r="J26" s="38">
        <f t="shared" si="9"/>
        <v>1389.8594219096842</v>
      </c>
      <c r="K26" s="38">
        <f t="shared" si="9"/>
        <v>1341.2468899344385</v>
      </c>
      <c r="L26" s="38">
        <f t="shared" si="9"/>
        <v>1219.1675717383846</v>
      </c>
      <c r="M26" s="38">
        <f t="shared" si="9"/>
        <v>1108.1998081735596</v>
      </c>
      <c r="N26" s="38">
        <f t="shared" si="9"/>
        <v>895.63428434929074</v>
      </c>
      <c r="O26" s="38">
        <f t="shared" si="9"/>
        <v>668.42124955076179</v>
      </c>
      <c r="P26" s="38">
        <f t="shared" si="9"/>
        <v>607.58199695813937</v>
      </c>
      <c r="Q26" s="38">
        <f t="shared" si="9"/>
        <v>552.28028409681372</v>
      </c>
      <c r="R26" s="38">
        <f t="shared" si="9"/>
        <v>502.01208930152967</v>
      </c>
      <c r="S26" s="38">
        <f t="shared" si="9"/>
        <v>456.31926641863771</v>
      </c>
      <c r="T26" s="38">
        <f t="shared" si="9"/>
        <v>414.78536927229192</v>
      </c>
      <c r="U26" s="38">
        <f t="shared" si="9"/>
        <v>377.03185618215247</v>
      </c>
      <c r="V26" s="38">
        <f t="shared" si="9"/>
        <v>342.71463994086247</v>
      </c>
      <c r="W26" s="38">
        <f t="shared" si="9"/>
        <v>311.52095180805367</v>
      </c>
      <c r="X26" s="38">
        <f t="shared" si="9"/>
        <v>283.16649093955004</v>
      </c>
      <c r="Y26" s="38">
        <f t="shared" si="9"/>
        <v>257.39283327186484</v>
      </c>
      <c r="Z26" s="38">
        <f t="shared" si="9"/>
        <v>233.96507624673768</v>
      </c>
      <c r="AA26" s="38">
        <f t="shared" si="9"/>
        <v>212.66969790988279</v>
      </c>
      <c r="AB26" s="38">
        <f t="shared" si="9"/>
        <v>789.64603576004129</v>
      </c>
    </row>
    <row r="27" spans="1:28" x14ac:dyDescent="0.25">
      <c r="A27" s="15"/>
      <c r="B27" s="41" t="s">
        <v>134</v>
      </c>
      <c r="C27" s="25">
        <f>C25</f>
        <v>-18616.796370856202</v>
      </c>
      <c r="D27" s="38">
        <f>D26+C27</f>
        <v>-18616.796370856202</v>
      </c>
      <c r="E27" s="38">
        <f t="shared" ref="E27:AB27" si="10">E26+D27</f>
        <v>-18616.796370856202</v>
      </c>
      <c r="F27" s="38">
        <f t="shared" si="10"/>
        <v>-18616.796370856202</v>
      </c>
      <c r="G27" s="38">
        <f t="shared" si="10"/>
        <v>-18616.796370856202</v>
      </c>
      <c r="H27" s="38">
        <f t="shared" si="10"/>
        <v>-18616.796370856202</v>
      </c>
      <c r="I27" s="38">
        <f t="shared" si="10"/>
        <v>-18616.796370856202</v>
      </c>
      <c r="J27" s="38">
        <f t="shared" si="10"/>
        <v>-17226.936948946517</v>
      </c>
      <c r="K27" s="38">
        <f t="shared" si="10"/>
        <v>-15885.690059012079</v>
      </c>
      <c r="L27" s="38">
        <f t="shared" si="10"/>
        <v>-14666.522487273694</v>
      </c>
      <c r="M27" s="38">
        <f t="shared" si="10"/>
        <v>-13558.322679100134</v>
      </c>
      <c r="N27" s="38">
        <f t="shared" si="10"/>
        <v>-12662.688394750843</v>
      </c>
      <c r="O27" s="38">
        <f t="shared" si="10"/>
        <v>-11994.267145200081</v>
      </c>
      <c r="P27" s="38">
        <f t="shared" si="10"/>
        <v>-11386.685148241942</v>
      </c>
      <c r="Q27" s="38">
        <f t="shared" si="10"/>
        <v>-10834.404864145128</v>
      </c>
      <c r="R27" s="38">
        <f t="shared" si="10"/>
        <v>-10332.392774843598</v>
      </c>
      <c r="S27" s="38">
        <f t="shared" si="10"/>
        <v>-9876.0735084249609</v>
      </c>
      <c r="T27" s="38">
        <f t="shared" si="10"/>
        <v>-9461.2881391526698</v>
      </c>
      <c r="U27" s="38">
        <f t="shared" si="10"/>
        <v>-9084.2562829705166</v>
      </c>
      <c r="V27" s="38">
        <f t="shared" si="10"/>
        <v>-8741.5416430296536</v>
      </c>
      <c r="W27" s="38">
        <f t="shared" si="10"/>
        <v>-8430.0206912215999</v>
      </c>
      <c r="X27" s="38">
        <f t="shared" si="10"/>
        <v>-8146.8542002820495</v>
      </c>
      <c r="Y27" s="38">
        <f t="shared" si="10"/>
        <v>-7889.4613670101844</v>
      </c>
      <c r="Z27" s="38">
        <f t="shared" si="10"/>
        <v>-7655.4962907634472</v>
      </c>
      <c r="AA27" s="38">
        <f t="shared" si="10"/>
        <v>-7442.8265928535648</v>
      </c>
      <c r="AB27" s="38">
        <f t="shared" si="10"/>
        <v>-6653.180557093523</v>
      </c>
    </row>
    <row r="29" spans="1:28" x14ac:dyDescent="0.25">
      <c r="B29" s="12" t="s">
        <v>135</v>
      </c>
      <c r="C29" s="26">
        <f>NPV(0.1,D25:AB25)+C25</f>
        <v>-6653.180557093523</v>
      </c>
    </row>
    <row r="30" spans="1:28" x14ac:dyDescent="0.25">
      <c r="B30" s="12" t="s">
        <v>139</v>
      </c>
      <c r="C30" s="45">
        <f>IRR(C25:AB25)</f>
        <v>6.5375129985286273E-2</v>
      </c>
    </row>
    <row r="31" spans="1:28" x14ac:dyDescent="0.25">
      <c r="B31" s="12" t="s">
        <v>140</v>
      </c>
      <c r="C31" s="98" t="s">
        <v>142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"/>
  <sheetViews>
    <sheetView workbookViewId="0">
      <pane ySplit="4" topLeftCell="A8" activePane="bottomLeft" state="frozen"/>
      <selection pane="bottomLeft" activeCell="D15" sqref="D15"/>
    </sheetView>
  </sheetViews>
  <sheetFormatPr baseColWidth="10" defaultColWidth="11.42578125" defaultRowHeight="15" x14ac:dyDescent="0.25"/>
  <cols>
    <col min="5" max="5" width="11.7109375" bestFit="1" customWidth="1"/>
  </cols>
  <sheetData>
    <row r="1" spans="1:11" x14ac:dyDescent="0.25">
      <c r="A1" s="15" t="s">
        <v>162</v>
      </c>
      <c r="B1" s="16">
        <f>'Flujo de caja 25%'!C23</f>
        <v>6205.5987902854013</v>
      </c>
    </row>
    <row r="2" spans="1:11" x14ac:dyDescent="0.25">
      <c r="A2" s="15" t="s">
        <v>164</v>
      </c>
      <c r="B2" s="47">
        <f>IF(B1&gt;2000,(0.0487),(0.0509))</f>
        <v>4.87E-2</v>
      </c>
      <c r="C2" s="11"/>
      <c r="D2" s="64"/>
    </row>
    <row r="3" spans="1:11" x14ac:dyDescent="0.25">
      <c r="A3" s="15" t="s">
        <v>167</v>
      </c>
      <c r="B3" s="15">
        <v>5</v>
      </c>
      <c r="H3" t="s">
        <v>172</v>
      </c>
    </row>
    <row r="4" spans="1:11" x14ac:dyDescent="0.25">
      <c r="A4" s="15" t="s">
        <v>168</v>
      </c>
      <c r="B4" s="25">
        <f>PMT(B2,B3,-B1)</f>
        <v>1428.1899722290386</v>
      </c>
    </row>
    <row r="5" spans="1:11" x14ac:dyDescent="0.25">
      <c r="H5" s="159" t="s">
        <v>169</v>
      </c>
      <c r="I5" s="159" t="s">
        <v>164</v>
      </c>
      <c r="J5" s="159" t="s">
        <v>165</v>
      </c>
      <c r="K5" s="159" t="s">
        <v>166</v>
      </c>
    </row>
    <row r="6" spans="1:11" x14ac:dyDescent="0.25">
      <c r="A6" s="159" t="s">
        <v>169</v>
      </c>
      <c r="B6" s="159" t="s">
        <v>170</v>
      </c>
      <c r="C6" s="159" t="s">
        <v>168</v>
      </c>
      <c r="D6" s="159" t="s">
        <v>165</v>
      </c>
      <c r="E6" s="159" t="s">
        <v>166</v>
      </c>
      <c r="F6" s="159" t="s">
        <v>171</v>
      </c>
      <c r="H6" s="46">
        <v>2</v>
      </c>
      <c r="I6" s="108">
        <f>B14</f>
        <v>4.87E-2</v>
      </c>
      <c r="J6" s="25">
        <f>D19</f>
        <v>135.05102099199235</v>
      </c>
      <c r="K6" s="25">
        <f>E19</f>
        <v>2773.121580944402</v>
      </c>
    </row>
    <row r="7" spans="1:11" x14ac:dyDescent="0.25">
      <c r="A7" s="46">
        <v>1</v>
      </c>
      <c r="B7" s="16">
        <f>B1</f>
        <v>6205.5987902854013</v>
      </c>
      <c r="C7" s="25">
        <f>$B$4</f>
        <v>1428.1899722290386</v>
      </c>
      <c r="D7" s="25">
        <f>B7*$B$2</f>
        <v>302.21266108689906</v>
      </c>
      <c r="E7" s="25">
        <f>C7-D7</f>
        <v>1125.9773111421396</v>
      </c>
      <c r="F7" s="16">
        <f>B7-E7</f>
        <v>5079.6214791432612</v>
      </c>
      <c r="H7" s="46">
        <v>3</v>
      </c>
      <c r="I7" s="108">
        <f>B23</f>
        <v>4.87E-2</v>
      </c>
      <c r="J7" s="25">
        <f>D28</f>
        <v>270.41702429980245</v>
      </c>
      <c r="K7" s="25">
        <f>E28</f>
        <v>5552.7109712485126</v>
      </c>
    </row>
    <row r="8" spans="1:11" x14ac:dyDescent="0.25">
      <c r="A8" s="46">
        <v>2</v>
      </c>
      <c r="B8" s="16">
        <f>B7-E7</f>
        <v>5079.6214791432612</v>
      </c>
      <c r="C8" s="25">
        <f>$B$4</f>
        <v>1428.1899722290386</v>
      </c>
      <c r="D8" s="25">
        <f>B8*$B$2</f>
        <v>247.37756603427681</v>
      </c>
      <c r="E8" s="25">
        <f>C8-D8</f>
        <v>1180.8124061947619</v>
      </c>
      <c r="F8" s="16">
        <f>B8-E8</f>
        <v>3898.8090729484993</v>
      </c>
      <c r="H8" s="46">
        <v>4</v>
      </c>
      <c r="I8" s="108">
        <f>B32</f>
        <v>4.87E-2</v>
      </c>
      <c r="J8" s="25">
        <f>D37</f>
        <v>259.51448956723567</v>
      </c>
      <c r="K8" s="25">
        <f>E37</f>
        <v>5328.8396215038129</v>
      </c>
    </row>
    <row r="9" spans="1:11" x14ac:dyDescent="0.25">
      <c r="A9" s="46">
        <v>3</v>
      </c>
      <c r="B9" s="16">
        <f>B8-E8</f>
        <v>3898.8090729484993</v>
      </c>
      <c r="C9" s="25">
        <f>$B$4</f>
        <v>1428.1899722290386</v>
      </c>
      <c r="D9" s="25">
        <f>B9*$B$2</f>
        <v>189.87200185259192</v>
      </c>
      <c r="E9" s="25">
        <f>C9-D9</f>
        <v>1238.3179703764467</v>
      </c>
      <c r="F9" s="16">
        <f>B9-E9</f>
        <v>2660.4911025720526</v>
      </c>
      <c r="H9" s="46">
        <v>5</v>
      </c>
      <c r="I9" s="108">
        <f>B41</f>
        <v>4.87E-2</v>
      </c>
      <c r="J9" s="25">
        <f>D46</f>
        <v>201.62133120840568</v>
      </c>
      <c r="K9" s="25">
        <f>E46</f>
        <v>4140.068402636668</v>
      </c>
    </row>
    <row r="10" spans="1:11" x14ac:dyDescent="0.25">
      <c r="A10" s="46">
        <v>4</v>
      </c>
      <c r="B10" s="16">
        <f>B9-E9</f>
        <v>2660.4911025720526</v>
      </c>
      <c r="C10" s="25">
        <f>$B$4</f>
        <v>1428.1899722290386</v>
      </c>
      <c r="D10" s="25">
        <f>B10*$B$2</f>
        <v>129.56591669525895</v>
      </c>
      <c r="E10" s="25">
        <f>C10-D10</f>
        <v>1298.6240555337797</v>
      </c>
      <c r="F10" s="16">
        <f>B10-E10</f>
        <v>1361.8670470382729</v>
      </c>
      <c r="H10" s="46">
        <v>6</v>
      </c>
      <c r="I10" s="108">
        <f>B50</f>
        <v>4.87E-2</v>
      </c>
      <c r="J10" s="25">
        <f>D55</f>
        <v>140.92574623372423</v>
      </c>
      <c r="K10" s="25">
        <f>E55</f>
        <v>2893.7524893988557</v>
      </c>
    </row>
    <row r="11" spans="1:11" x14ac:dyDescent="0.25">
      <c r="A11" s="46">
        <v>5</v>
      </c>
      <c r="B11" s="16">
        <f>B10-E10</f>
        <v>1361.8670470382729</v>
      </c>
      <c r="C11" s="25">
        <f>$B$4</f>
        <v>1428.1899722290386</v>
      </c>
      <c r="D11" s="25">
        <f>B11*$B$2</f>
        <v>66.322925190763883</v>
      </c>
      <c r="E11" s="25">
        <f>C11-D11</f>
        <v>1361.8670470382747</v>
      </c>
      <c r="F11" s="16">
        <f>B11-E11</f>
        <v>-1.8189894035458565E-12</v>
      </c>
      <c r="H11" s="109">
        <v>7</v>
      </c>
      <c r="I11" s="108">
        <f>B59</f>
        <v>5.0900000000000001E-2</v>
      </c>
      <c r="J11" s="14">
        <f>D64</f>
        <v>8.087983681925234</v>
      </c>
      <c r="K11" s="14">
        <f>E64</f>
        <v>158.89948294548594</v>
      </c>
    </row>
    <row r="12" spans="1:11" x14ac:dyDescent="0.25">
      <c r="B12" s="3"/>
      <c r="C12" s="9"/>
      <c r="D12" s="9"/>
      <c r="E12" s="9"/>
      <c r="F12" s="3"/>
      <c r="H12" s="109"/>
      <c r="I12" s="108"/>
      <c r="J12" s="14"/>
      <c r="K12" s="14"/>
    </row>
    <row r="13" spans="1:11" x14ac:dyDescent="0.25">
      <c r="A13" s="15" t="s">
        <v>162</v>
      </c>
      <c r="B13" s="16">
        <f>'Flujo de caja 25%'!D24</f>
        <v>2773.1215809444016</v>
      </c>
    </row>
    <row r="14" spans="1:11" x14ac:dyDescent="0.25">
      <c r="A14" s="15" t="s">
        <v>164</v>
      </c>
      <c r="B14" s="47">
        <f>IF(B13&gt;2000,0.0487,0.0509)</f>
        <v>4.87E-2</v>
      </c>
      <c r="C14" s="11"/>
    </row>
    <row r="15" spans="1:11" x14ac:dyDescent="0.25">
      <c r="A15" s="15" t="s">
        <v>167</v>
      </c>
      <c r="B15" s="15">
        <v>1</v>
      </c>
    </row>
    <row r="16" spans="1:11" x14ac:dyDescent="0.25">
      <c r="A16" s="15" t="s">
        <v>168</v>
      </c>
      <c r="B16" s="25">
        <f>PMT(B14,B15,-B13)</f>
        <v>2908.1726019363946</v>
      </c>
    </row>
    <row r="18" spans="1:6" x14ac:dyDescent="0.25">
      <c r="A18" s="159" t="s">
        <v>169</v>
      </c>
      <c r="B18" s="159" t="s">
        <v>170</v>
      </c>
      <c r="C18" s="159" t="s">
        <v>168</v>
      </c>
      <c r="D18" s="159" t="s">
        <v>165</v>
      </c>
      <c r="E18" s="159" t="s">
        <v>166</v>
      </c>
      <c r="F18" s="159" t="s">
        <v>171</v>
      </c>
    </row>
    <row r="19" spans="1:6" x14ac:dyDescent="0.25">
      <c r="A19" s="46">
        <v>2</v>
      </c>
      <c r="B19" s="16">
        <f>B13</f>
        <v>2773.1215809444016</v>
      </c>
      <c r="C19" s="25">
        <f>B16</f>
        <v>2908.1726019363946</v>
      </c>
      <c r="D19" s="25">
        <f>B19*B14</f>
        <v>135.05102099199235</v>
      </c>
      <c r="E19" s="25">
        <f>C19-D19</f>
        <v>2773.121580944402</v>
      </c>
      <c r="F19" s="16">
        <f>B19-E19</f>
        <v>0</v>
      </c>
    </row>
    <row r="20" spans="1:6" x14ac:dyDescent="0.25">
      <c r="A20" s="61"/>
      <c r="B20" s="62"/>
      <c r="C20" s="63"/>
      <c r="D20" s="63"/>
      <c r="E20" s="63"/>
      <c r="F20" s="62"/>
    </row>
    <row r="21" spans="1:6" x14ac:dyDescent="0.25">
      <c r="A21" s="58"/>
      <c r="B21" s="59"/>
      <c r="C21" s="60"/>
      <c r="D21" s="60"/>
      <c r="E21" s="60"/>
      <c r="F21" s="59"/>
    </row>
    <row r="22" spans="1:6" x14ac:dyDescent="0.25">
      <c r="A22" s="15" t="s">
        <v>162</v>
      </c>
      <c r="B22" s="16">
        <f>'Flujo de caja 25%'!E24</f>
        <v>5552.7109712485108</v>
      </c>
    </row>
    <row r="23" spans="1:6" x14ac:dyDescent="0.25">
      <c r="A23" s="15" t="s">
        <v>164</v>
      </c>
      <c r="B23" s="47">
        <f>IF(B22&gt;2000,0.0487,0.0509)</f>
        <v>4.87E-2</v>
      </c>
      <c r="C23" s="11"/>
    </row>
    <row r="24" spans="1:6" x14ac:dyDescent="0.25">
      <c r="A24" s="15" t="s">
        <v>167</v>
      </c>
      <c r="B24" s="15">
        <v>1</v>
      </c>
    </row>
    <row r="25" spans="1:6" x14ac:dyDescent="0.25">
      <c r="A25" s="15" t="s">
        <v>168</v>
      </c>
      <c r="B25" s="25">
        <f>PMT(B23,B24,-B22)</f>
        <v>5823.1279955483151</v>
      </c>
    </row>
    <row r="27" spans="1:6" x14ac:dyDescent="0.25">
      <c r="A27" s="159" t="s">
        <v>169</v>
      </c>
      <c r="B27" s="159" t="s">
        <v>170</v>
      </c>
      <c r="C27" s="159" t="s">
        <v>168</v>
      </c>
      <c r="D27" s="159" t="s">
        <v>165</v>
      </c>
      <c r="E27" s="159" t="s">
        <v>166</v>
      </c>
      <c r="F27" s="159" t="s">
        <v>171</v>
      </c>
    </row>
    <row r="28" spans="1:6" x14ac:dyDescent="0.25">
      <c r="A28" s="46">
        <v>3</v>
      </c>
      <c r="B28" s="16">
        <f>B22</f>
        <v>5552.7109712485108</v>
      </c>
      <c r="C28" s="25">
        <f>B25</f>
        <v>5823.1279955483151</v>
      </c>
      <c r="D28" s="25">
        <f>B28*B23</f>
        <v>270.41702429980245</v>
      </c>
      <c r="E28" s="25">
        <f>C28-D28</f>
        <v>5552.7109712485126</v>
      </c>
      <c r="F28" s="16">
        <f>B28-E28</f>
        <v>0</v>
      </c>
    </row>
    <row r="29" spans="1:6" x14ac:dyDescent="0.25">
      <c r="B29" s="3"/>
      <c r="C29" s="9"/>
      <c r="D29" s="9"/>
      <c r="E29" s="9"/>
      <c r="F29" s="3"/>
    </row>
    <row r="30" spans="1:6" x14ac:dyDescent="0.25">
      <c r="B30" s="3"/>
      <c r="C30" s="9"/>
      <c r="D30" s="9"/>
      <c r="E30" s="9"/>
      <c r="F30" s="3"/>
    </row>
    <row r="31" spans="1:6" x14ac:dyDescent="0.25">
      <c r="A31" s="15" t="s">
        <v>162</v>
      </c>
      <c r="B31" s="16">
        <f>'Flujo de caja 25%'!F24</f>
        <v>5328.8396215038119</v>
      </c>
    </row>
    <row r="32" spans="1:6" x14ac:dyDescent="0.25">
      <c r="A32" s="15" t="s">
        <v>164</v>
      </c>
      <c r="B32" s="47">
        <f>IF(B31&gt;2000,0.0487,0.0509)</f>
        <v>4.87E-2</v>
      </c>
      <c r="C32" s="11"/>
    </row>
    <row r="33" spans="1:6" x14ac:dyDescent="0.25">
      <c r="A33" s="15" t="s">
        <v>167</v>
      </c>
      <c r="B33" s="15">
        <v>1</v>
      </c>
    </row>
    <row r="34" spans="1:6" x14ac:dyDescent="0.25">
      <c r="A34" s="15" t="s">
        <v>168</v>
      </c>
      <c r="B34" s="25">
        <f>PMT(B32,B33,-B31)</f>
        <v>5588.3541110710485</v>
      </c>
    </row>
    <row r="36" spans="1:6" x14ac:dyDescent="0.25">
      <c r="A36" s="159" t="s">
        <v>169</v>
      </c>
      <c r="B36" s="159" t="s">
        <v>170</v>
      </c>
      <c r="C36" s="159" t="s">
        <v>168</v>
      </c>
      <c r="D36" s="159" t="s">
        <v>165</v>
      </c>
      <c r="E36" s="159" t="s">
        <v>166</v>
      </c>
      <c r="F36" s="159" t="s">
        <v>171</v>
      </c>
    </row>
    <row r="37" spans="1:6" x14ac:dyDescent="0.25">
      <c r="A37" s="46">
        <v>4</v>
      </c>
      <c r="B37" s="16">
        <f>B31</f>
        <v>5328.8396215038119</v>
      </c>
      <c r="C37" s="25">
        <f>B34</f>
        <v>5588.3541110710485</v>
      </c>
      <c r="D37" s="25">
        <f>B37*B32</f>
        <v>259.51448956723567</v>
      </c>
      <c r="E37" s="25">
        <f>C37-D37</f>
        <v>5328.8396215038129</v>
      </c>
      <c r="F37" s="16">
        <f>B37-E37</f>
        <v>0</v>
      </c>
    </row>
    <row r="38" spans="1:6" x14ac:dyDescent="0.25">
      <c r="A38" s="61"/>
      <c r="B38" s="62"/>
      <c r="C38" s="63"/>
      <c r="D38" s="63"/>
      <c r="E38" s="63"/>
      <c r="F38" s="62"/>
    </row>
    <row r="39" spans="1:6" x14ac:dyDescent="0.25">
      <c r="A39" s="58"/>
      <c r="B39" s="59"/>
      <c r="C39" s="60"/>
      <c r="D39" s="60"/>
      <c r="E39" s="60"/>
      <c r="F39" s="59"/>
    </row>
    <row r="40" spans="1:6" x14ac:dyDescent="0.25">
      <c r="A40" s="15" t="s">
        <v>162</v>
      </c>
      <c r="B40" s="16">
        <f>'Flujo de caja 25%'!G24</f>
        <v>4140.0684026366671</v>
      </c>
    </row>
    <row r="41" spans="1:6" x14ac:dyDescent="0.25">
      <c r="A41" s="15" t="s">
        <v>164</v>
      </c>
      <c r="B41" s="47">
        <f>IF(B40&gt;2000,0.0487,0.0509)</f>
        <v>4.87E-2</v>
      </c>
      <c r="C41" s="11"/>
    </row>
    <row r="42" spans="1:6" x14ac:dyDescent="0.25">
      <c r="A42" s="15" t="s">
        <v>167</v>
      </c>
      <c r="B42" s="15">
        <v>1</v>
      </c>
    </row>
    <row r="43" spans="1:6" x14ac:dyDescent="0.25">
      <c r="A43" s="15" t="s">
        <v>168</v>
      </c>
      <c r="B43" s="25">
        <f>PMT(B41,B42,-B40)</f>
        <v>4341.6897338450735</v>
      </c>
    </row>
    <row r="45" spans="1:6" x14ac:dyDescent="0.25">
      <c r="A45" s="159" t="s">
        <v>169</v>
      </c>
      <c r="B45" s="159" t="s">
        <v>170</v>
      </c>
      <c r="C45" s="159" t="s">
        <v>168</v>
      </c>
      <c r="D45" s="159" t="s">
        <v>165</v>
      </c>
      <c r="E45" s="159" t="s">
        <v>166</v>
      </c>
      <c r="F45" s="159" t="s">
        <v>171</v>
      </c>
    </row>
    <row r="46" spans="1:6" x14ac:dyDescent="0.25">
      <c r="A46" s="46">
        <v>5</v>
      </c>
      <c r="B46" s="16">
        <f>B40</f>
        <v>4140.0684026366671</v>
      </c>
      <c r="C46" s="25">
        <f>B43</f>
        <v>4341.6897338450735</v>
      </c>
      <c r="D46" s="25">
        <f>B46*B41</f>
        <v>201.62133120840568</v>
      </c>
      <c r="E46" s="25">
        <f>C46-D46</f>
        <v>4140.068402636668</v>
      </c>
      <c r="F46" s="16">
        <f>B46-E46</f>
        <v>0</v>
      </c>
    </row>
    <row r="47" spans="1:6" x14ac:dyDescent="0.25">
      <c r="B47" s="3"/>
      <c r="C47" s="9"/>
      <c r="D47" s="9"/>
      <c r="E47" s="9"/>
      <c r="F47" s="3"/>
    </row>
    <row r="48" spans="1:6" x14ac:dyDescent="0.25">
      <c r="B48" s="3"/>
      <c r="C48" s="9"/>
      <c r="D48" s="9"/>
      <c r="E48" s="9"/>
      <c r="F48" s="3"/>
    </row>
    <row r="49" spans="1:6" x14ac:dyDescent="0.25">
      <c r="A49" s="15" t="s">
        <v>162</v>
      </c>
      <c r="B49" s="16">
        <f>'Flujo de caja 25%'!H24</f>
        <v>2893.7524893988548</v>
      </c>
    </row>
    <row r="50" spans="1:6" x14ac:dyDescent="0.25">
      <c r="A50" s="15" t="s">
        <v>164</v>
      </c>
      <c r="B50" s="47">
        <f>IF(B49&gt;2000,0.0487,0.0509)</f>
        <v>4.87E-2</v>
      </c>
      <c r="C50" s="11"/>
    </row>
    <row r="51" spans="1:6" x14ac:dyDescent="0.25">
      <c r="A51" s="15" t="s">
        <v>167</v>
      </c>
      <c r="B51" s="15">
        <v>1</v>
      </c>
    </row>
    <row r="52" spans="1:6" x14ac:dyDescent="0.25">
      <c r="A52" s="15" t="s">
        <v>168</v>
      </c>
      <c r="B52" s="25">
        <f>PMT(B50,B51,-B49)</f>
        <v>3034.6782356325798</v>
      </c>
    </row>
    <row r="54" spans="1:6" x14ac:dyDescent="0.25">
      <c r="A54" s="159" t="s">
        <v>169</v>
      </c>
      <c r="B54" s="159" t="s">
        <v>170</v>
      </c>
      <c r="C54" s="159" t="s">
        <v>168</v>
      </c>
      <c r="D54" s="159" t="s">
        <v>165</v>
      </c>
      <c r="E54" s="159" t="s">
        <v>166</v>
      </c>
      <c r="F54" s="159" t="s">
        <v>171</v>
      </c>
    </row>
    <row r="55" spans="1:6" x14ac:dyDescent="0.25">
      <c r="A55" s="46">
        <v>6</v>
      </c>
      <c r="B55" s="16">
        <f>B49</f>
        <v>2893.7524893988548</v>
      </c>
      <c r="C55" s="25">
        <f>B52</f>
        <v>3034.6782356325798</v>
      </c>
      <c r="D55" s="25">
        <f>B55*B50</f>
        <v>140.92574623372423</v>
      </c>
      <c r="E55" s="25">
        <f>C55-D55</f>
        <v>2893.7524893988557</v>
      </c>
      <c r="F55" s="16">
        <f>B55-E55</f>
        <v>0</v>
      </c>
    </row>
    <row r="56" spans="1:6" x14ac:dyDescent="0.25">
      <c r="B56" s="3"/>
      <c r="C56" s="9"/>
      <c r="D56" s="9"/>
      <c r="E56" s="9"/>
      <c r="F56" s="3"/>
    </row>
    <row r="57" spans="1:6" x14ac:dyDescent="0.25">
      <c r="B57" s="3"/>
      <c r="C57" s="9"/>
      <c r="D57" s="9"/>
      <c r="E57" s="9"/>
      <c r="F57" s="3"/>
    </row>
    <row r="58" spans="1:6" x14ac:dyDescent="0.25">
      <c r="A58" s="15" t="s">
        <v>162</v>
      </c>
      <c r="B58" s="16">
        <f>'Flujo de caja 25%'!I24</f>
        <v>158.89948294548594</v>
      </c>
    </row>
    <row r="59" spans="1:6" x14ac:dyDescent="0.25">
      <c r="A59" s="15" t="s">
        <v>164</v>
      </c>
      <c r="B59" s="47">
        <f>IF(B58&gt;2000,0.0487,0.0509)</f>
        <v>5.0900000000000001E-2</v>
      </c>
      <c r="C59" s="11"/>
    </row>
    <row r="60" spans="1:6" x14ac:dyDescent="0.25">
      <c r="A60" s="15" t="s">
        <v>167</v>
      </c>
      <c r="B60" s="15">
        <v>1</v>
      </c>
    </row>
    <row r="61" spans="1:6" x14ac:dyDescent="0.25">
      <c r="A61" s="15" t="s">
        <v>168</v>
      </c>
      <c r="B61" s="25">
        <f>PMT(B59,B60,-B58)</f>
        <v>166.98746662741118</v>
      </c>
    </row>
    <row r="63" spans="1:6" x14ac:dyDescent="0.25">
      <c r="A63" s="159" t="s">
        <v>169</v>
      </c>
      <c r="B63" s="159" t="s">
        <v>170</v>
      </c>
      <c r="C63" s="159" t="s">
        <v>168</v>
      </c>
      <c r="D63" s="159" t="s">
        <v>165</v>
      </c>
      <c r="E63" s="159" t="s">
        <v>166</v>
      </c>
      <c r="F63" s="159" t="s">
        <v>171</v>
      </c>
    </row>
    <row r="64" spans="1:6" x14ac:dyDescent="0.25">
      <c r="A64" s="46">
        <v>7</v>
      </c>
      <c r="B64" s="16">
        <f>B58</f>
        <v>158.89948294548594</v>
      </c>
      <c r="C64" s="25">
        <f>B61</f>
        <v>166.98746662741118</v>
      </c>
      <c r="D64" s="25">
        <f>B64*B59</f>
        <v>8.087983681925234</v>
      </c>
      <c r="E64" s="25">
        <f>C64-D64</f>
        <v>158.89948294548594</v>
      </c>
      <c r="F64" s="16">
        <f>B64-E64</f>
        <v>0</v>
      </c>
    </row>
    <row r="67" spans="1:6" x14ac:dyDescent="0.25">
      <c r="A67" s="15" t="s">
        <v>162</v>
      </c>
      <c r="B67" s="16">
        <f>'Flujo de caja 25%'!E75</f>
        <v>0</v>
      </c>
    </row>
    <row r="68" spans="1:6" x14ac:dyDescent="0.25">
      <c r="A68" s="15" t="s">
        <v>164</v>
      </c>
      <c r="B68" s="47">
        <f>IF(B67&gt;2000,0.0487,0.0509)</f>
        <v>5.0900000000000001E-2</v>
      </c>
      <c r="C68" s="11"/>
    </row>
    <row r="69" spans="1:6" x14ac:dyDescent="0.25">
      <c r="A69" s="15" t="s">
        <v>167</v>
      </c>
      <c r="B69" s="15">
        <v>1</v>
      </c>
    </row>
    <row r="70" spans="1:6" x14ac:dyDescent="0.25">
      <c r="A70" s="15" t="s">
        <v>168</v>
      </c>
      <c r="B70" s="25">
        <f>PMT(B68,B69,-B67)</f>
        <v>0</v>
      </c>
    </row>
    <row r="72" spans="1:6" x14ac:dyDescent="0.25">
      <c r="A72" s="159" t="s">
        <v>169</v>
      </c>
      <c r="B72" s="159" t="s">
        <v>170</v>
      </c>
      <c r="C72" s="159" t="s">
        <v>168</v>
      </c>
      <c r="D72" s="159" t="s">
        <v>165</v>
      </c>
      <c r="E72" s="159" t="s">
        <v>166</v>
      </c>
      <c r="F72" s="159" t="s">
        <v>171</v>
      </c>
    </row>
    <row r="73" spans="1:6" x14ac:dyDescent="0.25">
      <c r="A73" s="46">
        <v>8</v>
      </c>
      <c r="B73" s="16">
        <f>B67</f>
        <v>0</v>
      </c>
      <c r="C73" s="25">
        <f>B70</f>
        <v>0</v>
      </c>
      <c r="D73" s="25">
        <f>B73*B68</f>
        <v>0</v>
      </c>
      <c r="E73" s="25">
        <f>C73-D73</f>
        <v>0</v>
      </c>
      <c r="F73" s="16">
        <f>B73-E73</f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3"/>
  <sheetViews>
    <sheetView workbookViewId="0">
      <pane xSplit="3" ySplit="4" topLeftCell="S25" activePane="bottomRight" state="frozen"/>
      <selection pane="topRight" activeCell="D1" sqref="D1"/>
      <selection pane="bottomLeft" activeCell="A5" sqref="A5"/>
      <selection pane="bottomRight" activeCell="V33" sqref="V33"/>
    </sheetView>
  </sheetViews>
  <sheetFormatPr baseColWidth="10" defaultColWidth="11.42578125" defaultRowHeight="15" x14ac:dyDescent="0.25"/>
  <cols>
    <col min="1" max="1" width="3.42578125" bestFit="1" customWidth="1"/>
    <col min="2" max="2" width="18.7109375" bestFit="1" customWidth="1"/>
    <col min="3" max="3" width="10.28515625" bestFit="1" customWidth="1"/>
    <col min="4" max="7" width="12" bestFit="1" customWidth="1"/>
    <col min="8" max="14" width="9.85546875" bestFit="1" customWidth="1"/>
    <col min="15" max="15" width="9.7109375" customWidth="1"/>
    <col min="16" max="16" width="10.28515625" customWidth="1"/>
    <col min="17" max="28" width="9.85546875" bestFit="1" customWidth="1"/>
  </cols>
  <sheetData>
    <row r="1" spans="1:28" x14ac:dyDescent="0.25">
      <c r="A1" s="37"/>
      <c r="B1" s="15"/>
      <c r="C1" s="15">
        <v>0</v>
      </c>
      <c r="D1" s="15">
        <v>1</v>
      </c>
      <c r="E1" s="15">
        <v>2</v>
      </c>
      <c r="F1" s="15">
        <v>3</v>
      </c>
      <c r="G1" s="15">
        <v>4</v>
      </c>
      <c r="H1" s="15">
        <v>5</v>
      </c>
      <c r="I1" s="15">
        <v>6</v>
      </c>
      <c r="J1" s="15">
        <v>7</v>
      </c>
      <c r="K1" s="15">
        <v>8</v>
      </c>
      <c r="L1" s="15">
        <v>9</v>
      </c>
      <c r="M1" s="15">
        <v>10</v>
      </c>
      <c r="N1" s="15">
        <v>11</v>
      </c>
      <c r="O1" s="15">
        <v>12</v>
      </c>
      <c r="P1" s="15">
        <v>13</v>
      </c>
      <c r="Q1" s="15">
        <v>14</v>
      </c>
      <c r="R1" s="15">
        <v>15</v>
      </c>
      <c r="S1" s="15">
        <v>16</v>
      </c>
      <c r="T1" s="15">
        <v>17</v>
      </c>
      <c r="U1" s="15">
        <v>18</v>
      </c>
      <c r="V1" s="15">
        <v>19</v>
      </c>
      <c r="W1" s="15">
        <v>20</v>
      </c>
      <c r="X1" s="15">
        <v>21</v>
      </c>
      <c r="Y1" s="15">
        <v>22</v>
      </c>
      <c r="Z1" s="15">
        <v>23</v>
      </c>
      <c r="AA1" s="15">
        <v>24</v>
      </c>
      <c r="AB1" s="15">
        <v>25</v>
      </c>
    </row>
    <row r="2" spans="1:28" x14ac:dyDescent="0.25">
      <c r="A2" s="37" t="s">
        <v>106</v>
      </c>
      <c r="B2" s="15" t="s">
        <v>107</v>
      </c>
      <c r="C2" s="38"/>
      <c r="D2" s="38">
        <v>0</v>
      </c>
      <c r="E2" s="38">
        <v>0</v>
      </c>
      <c r="F2" s="38">
        <f>Ingresos!I2</f>
        <v>4771.728991890197</v>
      </c>
      <c r="G2" s="38">
        <f>Ingresos!$H$2</f>
        <v>5726.0747902682369</v>
      </c>
      <c r="H2" s="38">
        <f>Ingresos!$H$2</f>
        <v>5726.0747902682369</v>
      </c>
      <c r="I2" s="38">
        <f>Ingresos!$H$2</f>
        <v>5726.0747902682369</v>
      </c>
      <c r="J2" s="38">
        <f>Ingresos!$H$2</f>
        <v>5726.0747902682369</v>
      </c>
      <c r="K2" s="38">
        <f>Ingresos!$H$2</f>
        <v>5726.0747902682369</v>
      </c>
      <c r="L2" s="38">
        <f>Ingresos!$H$2</f>
        <v>5726.0747902682369</v>
      </c>
      <c r="M2" s="38">
        <f>Ingresos!$H$2</f>
        <v>5726.0747902682369</v>
      </c>
      <c r="N2" s="38">
        <f>Ingresos!$H$2</f>
        <v>5726.0747902682369</v>
      </c>
      <c r="O2" s="38">
        <f>Ingresos!$H$2</f>
        <v>5726.0747902682369</v>
      </c>
      <c r="P2" s="38">
        <f>Ingresos!$H$2</f>
        <v>5726.0747902682369</v>
      </c>
      <c r="Q2" s="38">
        <f>Ingresos!$H$2</f>
        <v>5726.0747902682369</v>
      </c>
      <c r="R2" s="38">
        <f>Ingresos!$H$2</f>
        <v>5726.0747902682369</v>
      </c>
      <c r="S2" s="38">
        <f>Ingresos!$H$2</f>
        <v>5726.0747902682369</v>
      </c>
      <c r="T2" s="38">
        <f>Ingresos!$H$2</f>
        <v>5726.0747902682369</v>
      </c>
      <c r="U2" s="38">
        <f>Ingresos!$H$2</f>
        <v>5726.0747902682369</v>
      </c>
      <c r="V2" s="38">
        <f>Ingresos!$H$2</f>
        <v>5726.0747902682369</v>
      </c>
      <c r="W2" s="38">
        <f>Ingresos!$H$2</f>
        <v>5726.0747902682369</v>
      </c>
      <c r="X2" s="38">
        <f>Ingresos!$H$2</f>
        <v>5726.0747902682369</v>
      </c>
      <c r="Y2" s="38">
        <f>Ingresos!$H$2</f>
        <v>5726.0747902682369</v>
      </c>
      <c r="Z2" s="38">
        <f>Ingresos!$H$2</f>
        <v>5726.0747902682369</v>
      </c>
      <c r="AA2" s="38">
        <f>Ingresos!$H$2</f>
        <v>5726.0747902682369</v>
      </c>
      <c r="AB2" s="38">
        <f>Ingresos!$H$2+'capital de trabajo meses'!D2*2</f>
        <v>6680.4205886462769</v>
      </c>
    </row>
    <row r="3" spans="1:28" x14ac:dyDescent="0.25">
      <c r="A3" s="37" t="s">
        <v>108</v>
      </c>
      <c r="B3" s="15" t="s">
        <v>109</v>
      </c>
      <c r="C3" s="38"/>
      <c r="D3" s="38">
        <f>-'gastos de personal'!C32</f>
        <v>-1344.9316087153632</v>
      </c>
      <c r="E3" s="38">
        <f>-'gastos de personal'!C33</f>
        <v>-1216.3483970830775</v>
      </c>
      <c r="F3" s="38">
        <f>-'gastos de personal'!C34</f>
        <v>-2849.2506456166534</v>
      </c>
      <c r="G3" s="38">
        <f>F3-'gastos de personal'!$D$36</f>
        <v>-2849.5991096048169</v>
      </c>
      <c r="H3" s="38">
        <f>G3-'gastos de personal'!$D$36</f>
        <v>-2849.9475735929805</v>
      </c>
      <c r="I3" s="38">
        <f>H3-'gastos de personal'!$D$36</f>
        <v>-2850.296037581144</v>
      </c>
      <c r="J3" s="38">
        <f>I3-'gastos de personal'!$D$36</f>
        <v>-2850.6445015693075</v>
      </c>
      <c r="K3" s="38">
        <f>J3-'gastos de personal'!$D$36</f>
        <v>-2850.9929655574711</v>
      </c>
      <c r="L3" s="38">
        <f>K3-'gastos de personal'!$D$36</f>
        <v>-2851.3414295456346</v>
      </c>
      <c r="M3" s="38">
        <f>L3-'gastos de personal'!$D$36</f>
        <v>-2851.6898935337981</v>
      </c>
      <c r="N3" s="38">
        <f>M3-'gastos de personal'!$D$36</f>
        <v>-2852.0383575219616</v>
      </c>
      <c r="O3" s="38">
        <f>N3-'gastos de personal'!$D$36</f>
        <v>-2852.3868215101252</v>
      </c>
      <c r="P3" s="38">
        <f>O3-'gastos de personal'!$D$36</f>
        <v>-2852.7352854982887</v>
      </c>
      <c r="Q3" s="38">
        <f>P3-'gastos de personal'!$D$36</f>
        <v>-2853.0837494864522</v>
      </c>
      <c r="R3" s="38">
        <f>Q3-'gastos de personal'!$D$36</f>
        <v>-2853.4322134746158</v>
      </c>
      <c r="S3" s="38">
        <f>R3-'gastos de personal'!$D$36</f>
        <v>-2853.7806774627793</v>
      </c>
      <c r="T3" s="38">
        <f>S3-'gastos de personal'!$D$36</f>
        <v>-2854.1291414509428</v>
      </c>
      <c r="U3" s="38">
        <f>T3-'gastos de personal'!$D$36</f>
        <v>-2854.4776054391064</v>
      </c>
      <c r="V3" s="38">
        <f>U3-'gastos de personal'!$D$36</f>
        <v>-2854.8260694272699</v>
      </c>
      <c r="W3" s="38">
        <f>V3-'gastos de personal'!$D$36</f>
        <v>-2855.1745334154334</v>
      </c>
      <c r="X3" s="38">
        <f>W3-'gastos de personal'!$D$36</f>
        <v>-2855.5229974035969</v>
      </c>
      <c r="Y3" s="38">
        <f>X3-'gastos de personal'!$D$36</f>
        <v>-2855.8714613917605</v>
      </c>
      <c r="Z3" s="38">
        <f>Y3-'gastos de personal'!$D$36</f>
        <v>-2856.219925379924</v>
      </c>
      <c r="AA3" s="38">
        <f>Z3-'gastos de personal'!$D$36</f>
        <v>-2856.5683893680875</v>
      </c>
      <c r="AB3" s="38">
        <f>AA3-'gastos de personal'!$D$36</f>
        <v>-2856.9168533562511</v>
      </c>
    </row>
    <row r="4" spans="1:28" x14ac:dyDescent="0.25">
      <c r="A4" s="37" t="s">
        <v>110</v>
      </c>
      <c r="B4" s="17" t="s">
        <v>111</v>
      </c>
      <c r="C4" s="39"/>
      <c r="D4" s="39">
        <f>SUM(D2+D3)</f>
        <v>-1344.9316087153632</v>
      </c>
      <c r="E4" s="39">
        <f t="shared" ref="E4:AB4" si="0">SUM(E2+E3)</f>
        <v>-1216.3483970830775</v>
      </c>
      <c r="F4" s="39">
        <f t="shared" si="0"/>
        <v>1922.4783462735436</v>
      </c>
      <c r="G4" s="39">
        <f t="shared" si="0"/>
        <v>2876.47568066342</v>
      </c>
      <c r="H4" s="39">
        <f t="shared" si="0"/>
        <v>2876.1272166752565</v>
      </c>
      <c r="I4" s="39">
        <f t="shared" si="0"/>
        <v>2875.7787526870929</v>
      </c>
      <c r="J4" s="39">
        <f t="shared" si="0"/>
        <v>2875.4302886989294</v>
      </c>
      <c r="K4" s="39">
        <f t="shared" si="0"/>
        <v>2875.0818247107659</v>
      </c>
      <c r="L4" s="39">
        <f t="shared" si="0"/>
        <v>2874.7333607226024</v>
      </c>
      <c r="M4" s="39">
        <f t="shared" si="0"/>
        <v>2874.3848967344388</v>
      </c>
      <c r="N4" s="39">
        <f t="shared" si="0"/>
        <v>2874.0364327462753</v>
      </c>
      <c r="O4" s="39">
        <f t="shared" si="0"/>
        <v>2873.6879687581118</v>
      </c>
      <c r="P4" s="39">
        <f t="shared" si="0"/>
        <v>2873.3395047699482</v>
      </c>
      <c r="Q4" s="39">
        <f t="shared" si="0"/>
        <v>2872.9910407817847</v>
      </c>
      <c r="R4" s="39">
        <f t="shared" si="0"/>
        <v>2872.6425767936212</v>
      </c>
      <c r="S4" s="39">
        <f t="shared" si="0"/>
        <v>2872.2941128054576</v>
      </c>
      <c r="T4" s="39">
        <f t="shared" si="0"/>
        <v>2871.9456488172941</v>
      </c>
      <c r="U4" s="39">
        <f t="shared" si="0"/>
        <v>2871.5971848291306</v>
      </c>
      <c r="V4" s="39">
        <f t="shared" si="0"/>
        <v>2871.2487208409671</v>
      </c>
      <c r="W4" s="39">
        <f t="shared" si="0"/>
        <v>2870.9002568528035</v>
      </c>
      <c r="X4" s="39">
        <f t="shared" si="0"/>
        <v>2870.55179286464</v>
      </c>
      <c r="Y4" s="39">
        <f t="shared" si="0"/>
        <v>2870.2033288764765</v>
      </c>
      <c r="Z4" s="39">
        <f t="shared" si="0"/>
        <v>2869.8548648883129</v>
      </c>
      <c r="AA4" s="39">
        <f t="shared" si="0"/>
        <v>2869.5064009001494</v>
      </c>
      <c r="AB4" s="39">
        <f t="shared" si="0"/>
        <v>3823.5037352900258</v>
      </c>
    </row>
    <row r="5" spans="1:28" x14ac:dyDescent="0.25">
      <c r="A5" s="37" t="s">
        <v>108</v>
      </c>
      <c r="B5" s="15" t="s">
        <v>112</v>
      </c>
      <c r="C5" s="38"/>
      <c r="D5" s="38">
        <f>-'amortizacion 50%'!D7</f>
        <v>-604.42532217379812</v>
      </c>
      <c r="E5" s="38">
        <f>-'amortizacion 50%'!D8</f>
        <v>-494.75513206855362</v>
      </c>
      <c r="F5" s="38">
        <f>-'amortizacion 50%'!D9</f>
        <v>-379.74400370518384</v>
      </c>
      <c r="G5" s="38">
        <f>-'amortizacion 50%'!D10</f>
        <v>-259.1318333905179</v>
      </c>
      <c r="H5" s="38">
        <f>-'amortizacion 50%'!D11</f>
        <v>-132.64585038152777</v>
      </c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</row>
    <row r="6" spans="1:28" x14ac:dyDescent="0.25">
      <c r="A6" s="37" t="s">
        <v>108</v>
      </c>
      <c r="B6" s="15" t="s">
        <v>113</v>
      </c>
      <c r="C6" s="38"/>
      <c r="D6" s="38"/>
      <c r="E6" s="38">
        <f>-'amortizacion 50%'!D23</f>
        <v>-204.60387263954658</v>
      </c>
      <c r="F6" s="38">
        <f>-'amortizacion 50%'!D32</f>
        <v>-412.90995147014684</v>
      </c>
      <c r="G6" s="38">
        <f>-'amortizacion 50%'!D41</f>
        <v>-478.49967393832981</v>
      </c>
      <c r="H6" s="38">
        <f>-'amortizacion 50%'!D50</f>
        <v>-500.82394570592641</v>
      </c>
      <c r="I6" s="38">
        <f>-'amortizacion 50%'!D59</f>
        <v>-524.25237970482863</v>
      </c>
      <c r="J6" s="38">
        <f>-'amortizacion 50%'!D68</f>
        <v>-409.73304534059235</v>
      </c>
      <c r="K6" s="38">
        <f>-'amortizacion 50%'!D77</f>
        <v>-289.65358958904159</v>
      </c>
      <c r="L6" s="38">
        <f>-'amortizacion 50%'!D86</f>
        <v>-163.74323453861365</v>
      </c>
      <c r="M6" s="38">
        <f>-'amortizacion 50%'!D95</f>
        <v>-33.15086208473879</v>
      </c>
      <c r="N6" s="38">
        <f>-'amortizacion 50%'!D104</f>
        <v>0</v>
      </c>
      <c r="O6" s="38">
        <f>-'amortizacion 50%'!D113</f>
        <v>0</v>
      </c>
      <c r="P6" s="38">
        <f>-'amortizacion 50%'!D122</f>
        <v>0</v>
      </c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</row>
    <row r="7" spans="1:28" x14ac:dyDescent="0.25">
      <c r="A7" s="37" t="s">
        <v>108</v>
      </c>
      <c r="B7" s="15" t="s">
        <v>114</v>
      </c>
      <c r="C7" s="38"/>
      <c r="D7" s="38">
        <f>-depreciación!D14</f>
        <v>-6499.2540052194581</v>
      </c>
      <c r="E7" s="38">
        <f>-depreciación!E14</f>
        <v>-6499.2540052194581</v>
      </c>
      <c r="F7" s="38">
        <f>-depreciación!F14</f>
        <v>-6233.4468075563973</v>
      </c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</row>
    <row r="8" spans="1:28" x14ac:dyDescent="0.25">
      <c r="A8" s="40" t="s">
        <v>115</v>
      </c>
      <c r="B8" s="15" t="s">
        <v>116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</row>
    <row r="9" spans="1:28" x14ac:dyDescent="0.25">
      <c r="A9" s="37" t="s">
        <v>108</v>
      </c>
      <c r="B9" s="15" t="s">
        <v>117</v>
      </c>
      <c r="C9" s="38"/>
      <c r="D9" s="38"/>
      <c r="E9" s="38">
        <f>IF(D10&lt;1,(D10),(0))</f>
        <v>-8448.6109361086201</v>
      </c>
      <c r="F9" s="38">
        <f t="shared" ref="F9:AB9" si="1">IF(E10&lt;1,(E10),(0))</f>
        <v>-16863.572343119256</v>
      </c>
      <c r="G9" s="38">
        <f t="shared" si="1"/>
        <v>-21967.19475957744</v>
      </c>
      <c r="H9" s="38">
        <f t="shared" si="1"/>
        <v>-19828.350586242868</v>
      </c>
      <c r="I9" s="38">
        <f t="shared" si="1"/>
        <v>-17585.693165655066</v>
      </c>
      <c r="J9" s="38">
        <f t="shared" si="1"/>
        <v>-15234.166792672801</v>
      </c>
      <c r="K9" s="38">
        <f t="shared" si="1"/>
        <v>-12768.469549314465</v>
      </c>
      <c r="L9" s="38">
        <f t="shared" si="1"/>
        <v>-10183.04131419274</v>
      </c>
      <c r="M9" s="38">
        <f t="shared" si="1"/>
        <v>-7472.0511880087515</v>
      </c>
      <c r="N9" s="38">
        <f t="shared" si="1"/>
        <v>-4630.8171533590521</v>
      </c>
      <c r="O9" s="38">
        <f t="shared" si="1"/>
        <v>-1756.7807206127768</v>
      </c>
      <c r="P9" s="38">
        <f t="shared" si="1"/>
        <v>0</v>
      </c>
      <c r="Q9" s="38">
        <f t="shared" si="1"/>
        <v>0</v>
      </c>
      <c r="R9" s="38">
        <f t="shared" si="1"/>
        <v>0</v>
      </c>
      <c r="S9" s="38">
        <f t="shared" si="1"/>
        <v>0</v>
      </c>
      <c r="T9" s="38">
        <f t="shared" si="1"/>
        <v>0</v>
      </c>
      <c r="U9" s="38">
        <f t="shared" si="1"/>
        <v>0</v>
      </c>
      <c r="V9" s="38">
        <f t="shared" si="1"/>
        <v>0</v>
      </c>
      <c r="W9" s="38">
        <f t="shared" si="1"/>
        <v>0</v>
      </c>
      <c r="X9" s="38">
        <f t="shared" si="1"/>
        <v>0</v>
      </c>
      <c r="Y9" s="38">
        <f t="shared" si="1"/>
        <v>0</v>
      </c>
      <c r="Z9" s="38">
        <f t="shared" si="1"/>
        <v>0</v>
      </c>
      <c r="AA9" s="38">
        <f t="shared" si="1"/>
        <v>0</v>
      </c>
      <c r="AB9" s="38">
        <f t="shared" si="1"/>
        <v>0</v>
      </c>
    </row>
    <row r="10" spans="1:28" x14ac:dyDescent="0.25">
      <c r="A10" s="37" t="s">
        <v>110</v>
      </c>
      <c r="B10" s="17" t="s">
        <v>118</v>
      </c>
      <c r="C10" s="39"/>
      <c r="D10" s="39">
        <f>SUM(D4:D9)</f>
        <v>-8448.6109361086201</v>
      </c>
      <c r="E10" s="39">
        <f t="shared" ref="E10:AB10" si="2">SUM(E4:E9)</f>
        <v>-16863.572343119256</v>
      </c>
      <c r="F10" s="39">
        <f t="shared" si="2"/>
        <v>-21967.19475957744</v>
      </c>
      <c r="G10" s="39">
        <f t="shared" si="2"/>
        <v>-19828.350586242868</v>
      </c>
      <c r="H10" s="39">
        <f t="shared" si="2"/>
        <v>-17585.693165655066</v>
      </c>
      <c r="I10" s="39">
        <f t="shared" si="2"/>
        <v>-15234.166792672801</v>
      </c>
      <c r="J10" s="39">
        <f t="shared" si="2"/>
        <v>-12768.469549314465</v>
      </c>
      <c r="K10" s="39">
        <f t="shared" si="2"/>
        <v>-10183.04131419274</v>
      </c>
      <c r="L10" s="39">
        <f t="shared" si="2"/>
        <v>-7472.0511880087515</v>
      </c>
      <c r="M10" s="39">
        <f t="shared" si="2"/>
        <v>-4630.8171533590521</v>
      </c>
      <c r="N10" s="39">
        <f t="shared" si="2"/>
        <v>-1756.7807206127768</v>
      </c>
      <c r="O10" s="39">
        <f t="shared" si="2"/>
        <v>1116.907248145335</v>
      </c>
      <c r="P10" s="39">
        <f t="shared" si="2"/>
        <v>2873.3395047699482</v>
      </c>
      <c r="Q10" s="39">
        <f t="shared" si="2"/>
        <v>2872.9910407817847</v>
      </c>
      <c r="R10" s="39">
        <f t="shared" si="2"/>
        <v>2872.6425767936212</v>
      </c>
      <c r="S10" s="39">
        <f t="shared" si="2"/>
        <v>2872.2941128054576</v>
      </c>
      <c r="T10" s="39">
        <f t="shared" si="2"/>
        <v>2871.9456488172941</v>
      </c>
      <c r="U10" s="39">
        <f t="shared" si="2"/>
        <v>2871.5971848291306</v>
      </c>
      <c r="V10" s="39">
        <f t="shared" si="2"/>
        <v>2871.2487208409671</v>
      </c>
      <c r="W10" s="39">
        <f t="shared" si="2"/>
        <v>2870.9002568528035</v>
      </c>
      <c r="X10" s="39">
        <f t="shared" si="2"/>
        <v>2870.55179286464</v>
      </c>
      <c r="Y10" s="39">
        <f t="shared" si="2"/>
        <v>2870.2033288764765</v>
      </c>
      <c r="Z10" s="39">
        <f t="shared" si="2"/>
        <v>2869.8548648883129</v>
      </c>
      <c r="AA10" s="39">
        <f t="shared" si="2"/>
        <v>2869.5064009001494</v>
      </c>
      <c r="AB10" s="39">
        <f t="shared" si="2"/>
        <v>3823.5037352900258</v>
      </c>
    </row>
    <row r="11" spans="1:28" x14ac:dyDescent="0.25">
      <c r="A11" s="37" t="s">
        <v>108</v>
      </c>
      <c r="B11" s="15" t="s">
        <v>119</v>
      </c>
      <c r="C11" s="38"/>
      <c r="D11" s="38">
        <f>IF(D10&gt;0,(-D10*0.27),(0))</f>
        <v>0</v>
      </c>
      <c r="E11" s="38">
        <f t="shared" ref="E11:AB11" si="3">IF(E10&gt;0,(-E10*0.27),(0))</f>
        <v>0</v>
      </c>
      <c r="F11" s="38">
        <f t="shared" si="3"/>
        <v>0</v>
      </c>
      <c r="G11" s="38">
        <f t="shared" si="3"/>
        <v>0</v>
      </c>
      <c r="H11" s="38">
        <f t="shared" si="3"/>
        <v>0</v>
      </c>
      <c r="I11" s="38">
        <f t="shared" si="3"/>
        <v>0</v>
      </c>
      <c r="J11" s="38">
        <f t="shared" si="3"/>
        <v>0</v>
      </c>
      <c r="K11" s="38">
        <f t="shared" si="3"/>
        <v>0</v>
      </c>
      <c r="L11" s="38">
        <f t="shared" si="3"/>
        <v>0</v>
      </c>
      <c r="M11" s="38">
        <f t="shared" si="3"/>
        <v>0</v>
      </c>
      <c r="N11" s="38">
        <f t="shared" si="3"/>
        <v>0</v>
      </c>
      <c r="O11" s="38">
        <f t="shared" si="3"/>
        <v>-301.56495699924045</v>
      </c>
      <c r="P11" s="38">
        <f t="shared" si="3"/>
        <v>-775.80166628788606</v>
      </c>
      <c r="Q11" s="38">
        <f t="shared" si="3"/>
        <v>-775.70758101108197</v>
      </c>
      <c r="R11" s="38">
        <f t="shared" si="3"/>
        <v>-775.61349573427776</v>
      </c>
      <c r="S11" s="38">
        <f t="shared" si="3"/>
        <v>-775.51941045747367</v>
      </c>
      <c r="T11" s="38">
        <f t="shared" si="3"/>
        <v>-775.42532518066946</v>
      </c>
      <c r="U11" s="38">
        <f t="shared" si="3"/>
        <v>-775.33123990386525</v>
      </c>
      <c r="V11" s="38">
        <f t="shared" si="3"/>
        <v>-775.23715462706116</v>
      </c>
      <c r="W11" s="38">
        <f t="shared" si="3"/>
        <v>-775.14306935025695</v>
      </c>
      <c r="X11" s="38">
        <f t="shared" si="3"/>
        <v>-775.04898407345286</v>
      </c>
      <c r="Y11" s="38">
        <f t="shared" si="3"/>
        <v>-774.95489879664865</v>
      </c>
      <c r="Z11" s="38">
        <f t="shared" si="3"/>
        <v>-774.86081351984456</v>
      </c>
      <c r="AA11" s="38">
        <f t="shared" si="3"/>
        <v>-774.76672824304035</v>
      </c>
      <c r="AB11" s="38">
        <f t="shared" si="3"/>
        <v>-1032.346008528307</v>
      </c>
    </row>
    <row r="12" spans="1:28" x14ac:dyDescent="0.25">
      <c r="A12" s="37" t="s">
        <v>110</v>
      </c>
      <c r="B12" s="17" t="s">
        <v>120</v>
      </c>
      <c r="C12" s="39"/>
      <c r="D12" s="39">
        <f>SUM(D10:D11)</f>
        <v>-8448.6109361086201</v>
      </c>
      <c r="E12" s="39">
        <f t="shared" ref="E12:AB12" si="4">SUM(E10:E11)</f>
        <v>-16863.572343119256</v>
      </c>
      <c r="F12" s="39">
        <f t="shared" si="4"/>
        <v>-21967.19475957744</v>
      </c>
      <c r="G12" s="39">
        <f t="shared" si="4"/>
        <v>-19828.350586242868</v>
      </c>
      <c r="H12" s="39">
        <f t="shared" si="4"/>
        <v>-17585.693165655066</v>
      </c>
      <c r="I12" s="39">
        <f t="shared" si="4"/>
        <v>-15234.166792672801</v>
      </c>
      <c r="J12" s="39">
        <f t="shared" si="4"/>
        <v>-12768.469549314465</v>
      </c>
      <c r="K12" s="39">
        <f t="shared" si="4"/>
        <v>-10183.04131419274</v>
      </c>
      <c r="L12" s="39">
        <f t="shared" si="4"/>
        <v>-7472.0511880087515</v>
      </c>
      <c r="M12" s="39">
        <f t="shared" si="4"/>
        <v>-4630.8171533590521</v>
      </c>
      <c r="N12" s="39">
        <f t="shared" si="4"/>
        <v>-1756.7807206127768</v>
      </c>
      <c r="O12" s="39">
        <f t="shared" si="4"/>
        <v>815.34229114609457</v>
      </c>
      <c r="P12" s="39">
        <f t="shared" si="4"/>
        <v>2097.5378384820624</v>
      </c>
      <c r="Q12" s="39">
        <f t="shared" si="4"/>
        <v>2097.2834597707028</v>
      </c>
      <c r="R12" s="39">
        <f t="shared" si="4"/>
        <v>2097.0290810593433</v>
      </c>
      <c r="S12" s="39">
        <f t="shared" si="4"/>
        <v>2096.7747023479842</v>
      </c>
      <c r="T12" s="39">
        <f t="shared" si="4"/>
        <v>2096.5203236366247</v>
      </c>
      <c r="U12" s="39">
        <f t="shared" si="4"/>
        <v>2096.2659449252651</v>
      </c>
      <c r="V12" s="39">
        <f t="shared" si="4"/>
        <v>2096.011566213906</v>
      </c>
      <c r="W12" s="39">
        <f t="shared" si="4"/>
        <v>2095.7571875025465</v>
      </c>
      <c r="X12" s="39">
        <f t="shared" si="4"/>
        <v>2095.5028087911869</v>
      </c>
      <c r="Y12" s="39">
        <f t="shared" si="4"/>
        <v>2095.2484300798278</v>
      </c>
      <c r="Z12" s="39">
        <f t="shared" si="4"/>
        <v>2094.9940513684683</v>
      </c>
      <c r="AA12" s="39">
        <f t="shared" si="4"/>
        <v>2094.7396726571092</v>
      </c>
      <c r="AB12" s="39">
        <f t="shared" si="4"/>
        <v>2791.1577267617185</v>
      </c>
    </row>
    <row r="13" spans="1:28" x14ac:dyDescent="0.25">
      <c r="A13" s="37" t="s">
        <v>106</v>
      </c>
      <c r="B13" s="15" t="s">
        <v>117</v>
      </c>
      <c r="C13" s="38"/>
      <c r="D13" s="38"/>
      <c r="E13" s="38">
        <f t="shared" ref="E13:L13" si="5">-E9</f>
        <v>8448.6109361086201</v>
      </c>
      <c r="F13" s="38">
        <f t="shared" si="5"/>
        <v>16863.572343119256</v>
      </c>
      <c r="G13" s="38">
        <f t="shared" si="5"/>
        <v>21967.19475957744</v>
      </c>
      <c r="H13" s="38">
        <f t="shared" si="5"/>
        <v>19828.350586242868</v>
      </c>
      <c r="I13" s="38">
        <f t="shared" si="5"/>
        <v>17585.693165655066</v>
      </c>
      <c r="J13" s="38">
        <f t="shared" si="5"/>
        <v>15234.166792672801</v>
      </c>
      <c r="K13" s="38">
        <f t="shared" si="5"/>
        <v>12768.469549314465</v>
      </c>
      <c r="L13" s="38">
        <f t="shared" si="5"/>
        <v>10183.04131419274</v>
      </c>
      <c r="M13" s="38">
        <f t="shared" ref="M13:U13" si="6">-M9</f>
        <v>7472.0511880087515</v>
      </c>
      <c r="N13" s="38">
        <f t="shared" si="6"/>
        <v>4630.8171533590521</v>
      </c>
      <c r="O13" s="38">
        <f t="shared" si="6"/>
        <v>1756.7807206127768</v>
      </c>
      <c r="P13" s="38">
        <f t="shared" si="6"/>
        <v>0</v>
      </c>
      <c r="Q13" s="38">
        <f t="shared" si="6"/>
        <v>0</v>
      </c>
      <c r="R13" s="38">
        <f t="shared" si="6"/>
        <v>0</v>
      </c>
      <c r="S13" s="38">
        <f t="shared" si="6"/>
        <v>0</v>
      </c>
      <c r="T13" s="38">
        <f t="shared" si="6"/>
        <v>0</v>
      </c>
      <c r="U13" s="38">
        <f t="shared" si="6"/>
        <v>0</v>
      </c>
      <c r="V13" s="38">
        <f>-V9</f>
        <v>0</v>
      </c>
      <c r="W13" s="38"/>
      <c r="X13" s="38"/>
      <c r="Y13" s="38"/>
      <c r="Z13" s="38"/>
      <c r="AA13" s="38"/>
      <c r="AB13" s="38"/>
    </row>
    <row r="14" spans="1:28" x14ac:dyDescent="0.25">
      <c r="A14" s="37" t="s">
        <v>106</v>
      </c>
      <c r="B14" s="41" t="s">
        <v>114</v>
      </c>
      <c r="C14" s="38"/>
      <c r="D14" s="38">
        <f>-D7</f>
        <v>6499.2540052194581</v>
      </c>
      <c r="E14" s="38">
        <f>-E7</f>
        <v>6499.2540052194581</v>
      </c>
      <c r="F14" s="38">
        <f>-F7</f>
        <v>6233.4468075563973</v>
      </c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</row>
    <row r="15" spans="1:28" x14ac:dyDescent="0.25">
      <c r="A15" s="37" t="s">
        <v>108</v>
      </c>
      <c r="B15" s="41" t="s">
        <v>121</v>
      </c>
      <c r="C15" s="38"/>
      <c r="D15" s="38">
        <f>-'amortizacion 50%'!E7</f>
        <v>-2251.9546222842791</v>
      </c>
      <c r="E15" s="38">
        <f>-'amortizacion 50%'!E8</f>
        <v>-2361.6248123895239</v>
      </c>
      <c r="F15" s="38">
        <f>-'amortizacion 50%'!E9</f>
        <v>-2476.6359407528935</v>
      </c>
      <c r="G15" s="38">
        <f>-'amortizacion 50%'!E10</f>
        <v>-2597.2481110675594</v>
      </c>
      <c r="H15" s="38">
        <f>-'amortizacion 50%'!E11</f>
        <v>-2723.7340940765494</v>
      </c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</row>
    <row r="16" spans="1:28" x14ac:dyDescent="0.25">
      <c r="A16" s="37" t="s">
        <v>108</v>
      </c>
      <c r="B16" s="41" t="s">
        <v>122</v>
      </c>
      <c r="C16" s="38"/>
      <c r="D16" s="38"/>
      <c r="E16" s="38">
        <f>-'amortizacion 50%'!E23</f>
        <v>-4201.311553173442</v>
      </c>
      <c r="F16" s="38">
        <f>-'amortizacion 50%'!E32</f>
        <v>-8478.6437673541459</v>
      </c>
      <c r="G16" s="38">
        <f>-'amortizacion 50%'!E41</f>
        <v>-9825.4553170088275</v>
      </c>
      <c r="H16" s="38">
        <f>-'amortizacion 50%'!E50</f>
        <v>-10283.859254741819</v>
      </c>
      <c r="I16" s="38">
        <f>-'amortizacion 50%'!E59</f>
        <v>-10764.935928230569</v>
      </c>
      <c r="J16" s="38">
        <f>-'amortizacion 50%'!E68</f>
        <v>-8413.4095552483068</v>
      </c>
      <c r="K16" s="38">
        <f>-'amortizacion 50%'!E77</f>
        <v>-5947.7123118899717</v>
      </c>
      <c r="L16" s="38">
        <f>-'amortizacion 50%'!E86</f>
        <v>-3362.2840767682478</v>
      </c>
      <c r="M16" s="38">
        <f>-'amortizacion 50%'!E95</f>
        <v>-651.29395058425905</v>
      </c>
      <c r="N16" s="38">
        <f>-'amortizacion 50%'!E104</f>
        <v>0</v>
      </c>
      <c r="O16" s="38">
        <f>-'amortizacion 50%'!E113</f>
        <v>0</v>
      </c>
      <c r="P16" s="38">
        <f>-'amortizacion 50%'!E122</f>
        <v>0</v>
      </c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</row>
    <row r="17" spans="1:28" x14ac:dyDescent="0.25">
      <c r="A17" s="37" t="s">
        <v>106</v>
      </c>
      <c r="B17" s="41" t="s">
        <v>123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>
        <f>Inversiones!C21*2+Inversiones!F12/2+Inversiones!E17/2+Inversiones!C22/3</f>
        <v>2989.7048637790385</v>
      </c>
    </row>
    <row r="18" spans="1:28" x14ac:dyDescent="0.25">
      <c r="A18" s="37" t="s">
        <v>108</v>
      </c>
      <c r="B18" s="41" t="s">
        <v>124</v>
      </c>
      <c r="C18" s="38">
        <f>'capital de trabajo meses'!C8</f>
        <v>-2774.7200062816437</v>
      </c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>
        <f>-C18</f>
        <v>2774.7200062816437</v>
      </c>
    </row>
    <row r="19" spans="1:28" x14ac:dyDescent="0.25">
      <c r="A19" s="37" t="s">
        <v>108</v>
      </c>
      <c r="B19" s="41" t="s">
        <v>125</v>
      </c>
      <c r="C19" s="38">
        <f>-'gastos de personal'!I27</f>
        <v>-49.242003709747621</v>
      </c>
      <c r="D19" s="38"/>
      <c r="E19" s="38"/>
      <c r="F19" s="38"/>
      <c r="G19" s="38"/>
      <c r="H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</row>
    <row r="20" spans="1:28" x14ac:dyDescent="0.25">
      <c r="A20" s="37" t="s">
        <v>108</v>
      </c>
      <c r="B20" s="41" t="s">
        <v>126</v>
      </c>
      <c r="C20" s="38">
        <f>-Inversiones!B27</f>
        <v>-19998.575591954741</v>
      </c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</row>
    <row r="21" spans="1:28" x14ac:dyDescent="0.25">
      <c r="A21" s="37" t="s">
        <v>108</v>
      </c>
      <c r="B21" s="41" t="s">
        <v>128</v>
      </c>
      <c r="C21" s="38">
        <f>C20*0.1</f>
        <v>-1999.8575591954741</v>
      </c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</row>
    <row r="22" spans="1:28" x14ac:dyDescent="0.25">
      <c r="A22" s="37" t="s">
        <v>110</v>
      </c>
      <c r="B22" s="17" t="s">
        <v>129</v>
      </c>
      <c r="C22" s="39">
        <f>SUM(C18:C21)</f>
        <v>-24822.395161141605</v>
      </c>
      <c r="D22" s="39">
        <f>SUM(D12:D21)</f>
        <v>-4201.3115531734411</v>
      </c>
      <c r="E22" s="39">
        <f t="shared" ref="E22:AB22" si="7">SUM(E12:E21)</f>
        <v>-8478.6437673541441</v>
      </c>
      <c r="F22" s="39">
        <f t="shared" si="7"/>
        <v>-9825.4553170088257</v>
      </c>
      <c r="G22" s="39">
        <f t="shared" si="7"/>
        <v>-10283.859254741816</v>
      </c>
      <c r="H22" s="39">
        <f t="shared" si="7"/>
        <v>-10764.935928230567</v>
      </c>
      <c r="I22" s="39">
        <f t="shared" si="7"/>
        <v>-8413.4095552483031</v>
      </c>
      <c r="J22" s="39">
        <f t="shared" si="7"/>
        <v>-5947.7123118899708</v>
      </c>
      <c r="K22" s="39">
        <f t="shared" si="7"/>
        <v>-3362.2840767682474</v>
      </c>
      <c r="L22" s="39">
        <f t="shared" si="7"/>
        <v>-651.29395058425916</v>
      </c>
      <c r="M22" s="39">
        <f t="shared" si="7"/>
        <v>2189.9400840654403</v>
      </c>
      <c r="N22" s="39">
        <f t="shared" si="7"/>
        <v>2874.0364327462753</v>
      </c>
      <c r="O22" s="39">
        <f t="shared" si="7"/>
        <v>2572.1230117588711</v>
      </c>
      <c r="P22" s="39">
        <f t="shared" si="7"/>
        <v>2097.5378384820624</v>
      </c>
      <c r="Q22" s="39">
        <f t="shared" si="7"/>
        <v>2097.2834597707028</v>
      </c>
      <c r="R22" s="39">
        <f t="shared" si="7"/>
        <v>2097.0290810593433</v>
      </c>
      <c r="S22" s="39">
        <f t="shared" si="7"/>
        <v>2096.7747023479842</v>
      </c>
      <c r="T22" s="39">
        <f t="shared" si="7"/>
        <v>2096.5203236366247</v>
      </c>
      <c r="U22" s="39">
        <f t="shared" si="7"/>
        <v>2096.2659449252651</v>
      </c>
      <c r="V22" s="39">
        <f t="shared" si="7"/>
        <v>2096.011566213906</v>
      </c>
      <c r="W22" s="39">
        <f t="shared" si="7"/>
        <v>2095.7571875025465</v>
      </c>
      <c r="X22" s="39">
        <f t="shared" si="7"/>
        <v>2095.5028087911869</v>
      </c>
      <c r="Y22" s="39">
        <f t="shared" si="7"/>
        <v>2095.2484300798278</v>
      </c>
      <c r="Z22" s="39">
        <f t="shared" si="7"/>
        <v>2094.9940513684683</v>
      </c>
      <c r="AA22" s="39">
        <f t="shared" si="7"/>
        <v>2094.7396726571092</v>
      </c>
      <c r="AB22" s="39">
        <f t="shared" si="7"/>
        <v>8555.5825968224017</v>
      </c>
    </row>
    <row r="23" spans="1:28" x14ac:dyDescent="0.25">
      <c r="A23" s="37" t="s">
        <v>106</v>
      </c>
      <c r="B23" s="41" t="s">
        <v>130</v>
      </c>
      <c r="C23" s="38">
        <f>-C22/2</f>
        <v>12411.197580570803</v>
      </c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</row>
    <row r="24" spans="1:28" x14ac:dyDescent="0.25">
      <c r="A24" s="37" t="s">
        <v>106</v>
      </c>
      <c r="B24" s="41" t="s">
        <v>131</v>
      </c>
      <c r="C24" s="38"/>
      <c r="D24" s="38">
        <f>IF(D22&lt;1,(-D22),(0))</f>
        <v>4201.3115531734411</v>
      </c>
      <c r="E24" s="38">
        <f t="shared" ref="E24:AB24" si="8">IF(E22&lt;1,(-E22),(0))</f>
        <v>8478.6437673541441</v>
      </c>
      <c r="F24" s="38">
        <f t="shared" si="8"/>
        <v>9825.4553170088257</v>
      </c>
      <c r="G24" s="38">
        <f t="shared" si="8"/>
        <v>10283.859254741816</v>
      </c>
      <c r="H24" s="38">
        <f t="shared" si="8"/>
        <v>10764.935928230567</v>
      </c>
      <c r="I24" s="38">
        <f t="shared" si="8"/>
        <v>8413.4095552483031</v>
      </c>
      <c r="J24" s="38">
        <f t="shared" si="8"/>
        <v>5947.7123118899708</v>
      </c>
      <c r="K24" s="38">
        <f t="shared" si="8"/>
        <v>3362.2840767682474</v>
      </c>
      <c r="L24" s="38">
        <f t="shared" si="8"/>
        <v>651.29395058425916</v>
      </c>
      <c r="M24" s="38">
        <f t="shared" si="8"/>
        <v>0</v>
      </c>
      <c r="N24" s="38">
        <f t="shared" si="8"/>
        <v>0</v>
      </c>
      <c r="O24" s="38">
        <f t="shared" si="8"/>
        <v>0</v>
      </c>
      <c r="P24" s="38">
        <f t="shared" si="8"/>
        <v>0</v>
      </c>
      <c r="Q24" s="38">
        <f t="shared" si="8"/>
        <v>0</v>
      </c>
      <c r="R24" s="38">
        <f t="shared" si="8"/>
        <v>0</v>
      </c>
      <c r="S24" s="38">
        <f t="shared" si="8"/>
        <v>0</v>
      </c>
      <c r="T24" s="38">
        <f t="shared" si="8"/>
        <v>0</v>
      </c>
      <c r="U24" s="38">
        <f t="shared" si="8"/>
        <v>0</v>
      </c>
      <c r="V24" s="38">
        <f t="shared" si="8"/>
        <v>0</v>
      </c>
      <c r="W24" s="38">
        <f t="shared" si="8"/>
        <v>0</v>
      </c>
      <c r="X24" s="38">
        <f t="shared" si="8"/>
        <v>0</v>
      </c>
      <c r="Y24" s="38">
        <f t="shared" si="8"/>
        <v>0</v>
      </c>
      <c r="Z24" s="38">
        <f t="shared" si="8"/>
        <v>0</v>
      </c>
      <c r="AA24" s="38">
        <f t="shared" si="8"/>
        <v>0</v>
      </c>
      <c r="AB24" s="38">
        <f t="shared" si="8"/>
        <v>0</v>
      </c>
    </row>
    <row r="25" spans="1:28" x14ac:dyDescent="0.25">
      <c r="A25" s="37" t="s">
        <v>110</v>
      </c>
      <c r="B25" s="17" t="s">
        <v>132</v>
      </c>
      <c r="C25" s="39">
        <f>SUM(C22:C24)</f>
        <v>-12411.197580570803</v>
      </c>
      <c r="D25" s="39">
        <f t="shared" ref="D25:AB25" si="9">SUM(D22:D24)</f>
        <v>0</v>
      </c>
      <c r="E25" s="39">
        <f t="shared" si="9"/>
        <v>0</v>
      </c>
      <c r="F25" s="39">
        <f t="shared" si="9"/>
        <v>0</v>
      </c>
      <c r="G25" s="39">
        <f t="shared" si="9"/>
        <v>0</v>
      </c>
      <c r="H25" s="39">
        <f t="shared" si="9"/>
        <v>0</v>
      </c>
      <c r="I25" s="39">
        <f t="shared" si="9"/>
        <v>0</v>
      </c>
      <c r="J25" s="39">
        <f t="shared" si="9"/>
        <v>0</v>
      </c>
      <c r="K25" s="39">
        <f t="shared" si="9"/>
        <v>0</v>
      </c>
      <c r="L25" s="39">
        <f t="shared" si="9"/>
        <v>0</v>
      </c>
      <c r="M25" s="39">
        <f t="shared" si="9"/>
        <v>2189.9400840654403</v>
      </c>
      <c r="N25" s="39">
        <f t="shared" si="9"/>
        <v>2874.0364327462753</v>
      </c>
      <c r="O25" s="39">
        <f t="shared" si="9"/>
        <v>2572.1230117588711</v>
      </c>
      <c r="P25" s="39">
        <f t="shared" si="9"/>
        <v>2097.5378384820624</v>
      </c>
      <c r="Q25" s="39">
        <f t="shared" si="9"/>
        <v>2097.2834597707028</v>
      </c>
      <c r="R25" s="39">
        <f t="shared" si="9"/>
        <v>2097.0290810593433</v>
      </c>
      <c r="S25" s="39">
        <f t="shared" si="9"/>
        <v>2096.7747023479842</v>
      </c>
      <c r="T25" s="39">
        <f t="shared" si="9"/>
        <v>2096.5203236366247</v>
      </c>
      <c r="U25" s="39">
        <f t="shared" si="9"/>
        <v>2096.2659449252651</v>
      </c>
      <c r="V25" s="39">
        <f t="shared" si="9"/>
        <v>2096.011566213906</v>
      </c>
      <c r="W25" s="39">
        <f t="shared" si="9"/>
        <v>2095.7571875025465</v>
      </c>
      <c r="X25" s="39">
        <f t="shared" si="9"/>
        <v>2095.5028087911869</v>
      </c>
      <c r="Y25" s="39">
        <f t="shared" si="9"/>
        <v>2095.2484300798278</v>
      </c>
      <c r="Z25" s="39">
        <f t="shared" si="9"/>
        <v>2094.9940513684683</v>
      </c>
      <c r="AA25" s="39">
        <f t="shared" si="9"/>
        <v>2094.7396726571092</v>
      </c>
      <c r="AB25" s="39">
        <f t="shared" si="9"/>
        <v>8555.5825968224017</v>
      </c>
    </row>
    <row r="26" spans="1:28" x14ac:dyDescent="0.25">
      <c r="A26" s="15"/>
      <c r="B26" s="41" t="s">
        <v>133</v>
      </c>
      <c r="C26" s="25">
        <f>C25</f>
        <v>-12411.197580570803</v>
      </c>
      <c r="D26" s="38">
        <f>D25/(1+0.1)^D1</f>
        <v>0</v>
      </c>
      <c r="E26" s="38">
        <f t="shared" ref="E26:AB26" si="10">E25/(1+0.1)^E1</f>
        <v>0</v>
      </c>
      <c r="F26" s="38">
        <f t="shared" si="10"/>
        <v>0</v>
      </c>
      <c r="G26" s="38">
        <f t="shared" si="10"/>
        <v>0</v>
      </c>
      <c r="H26" s="38">
        <f t="shared" si="10"/>
        <v>0</v>
      </c>
      <c r="I26" s="38">
        <f t="shared" si="10"/>
        <v>0</v>
      </c>
      <c r="J26" s="38">
        <f t="shared" si="10"/>
        <v>0</v>
      </c>
      <c r="K26" s="38">
        <f t="shared" si="10"/>
        <v>0</v>
      </c>
      <c r="L26" s="38">
        <f t="shared" si="10"/>
        <v>0</v>
      </c>
      <c r="M26" s="38">
        <f t="shared" si="10"/>
        <v>844.3167036641745</v>
      </c>
      <c r="N26" s="38">
        <f t="shared" si="10"/>
        <v>1007.332236564832</v>
      </c>
      <c r="O26" s="38">
        <f t="shared" si="10"/>
        <v>819.55765848835415</v>
      </c>
      <c r="P26" s="38">
        <f t="shared" si="10"/>
        <v>607.58199695813937</v>
      </c>
      <c r="Q26" s="38">
        <f t="shared" si="10"/>
        <v>552.28028409681372</v>
      </c>
      <c r="R26" s="38">
        <f t="shared" si="10"/>
        <v>502.01208930152967</v>
      </c>
      <c r="S26" s="38">
        <f t="shared" si="10"/>
        <v>456.31926641863771</v>
      </c>
      <c r="T26" s="38">
        <f t="shared" si="10"/>
        <v>414.78536927229192</v>
      </c>
      <c r="U26" s="38">
        <f t="shared" si="10"/>
        <v>377.03185618215247</v>
      </c>
      <c r="V26" s="38">
        <f t="shared" si="10"/>
        <v>342.71463994086247</v>
      </c>
      <c r="W26" s="38">
        <f t="shared" si="10"/>
        <v>311.52095180805367</v>
      </c>
      <c r="X26" s="38">
        <f t="shared" si="10"/>
        <v>283.16649093955004</v>
      </c>
      <c r="Y26" s="38">
        <f t="shared" si="10"/>
        <v>257.39283327186484</v>
      </c>
      <c r="Z26" s="38">
        <f t="shared" si="10"/>
        <v>233.96507624673768</v>
      </c>
      <c r="AA26" s="38">
        <f t="shared" si="10"/>
        <v>212.66969790988279</v>
      </c>
      <c r="AB26" s="38">
        <f t="shared" si="10"/>
        <v>789.64603576004129</v>
      </c>
    </row>
    <row r="27" spans="1:28" x14ac:dyDescent="0.25">
      <c r="A27" s="15"/>
      <c r="B27" s="41" t="s">
        <v>134</v>
      </c>
      <c r="C27" s="25">
        <f>C25</f>
        <v>-12411.197580570803</v>
      </c>
      <c r="D27" s="38">
        <f>D26+C27</f>
        <v>-12411.197580570803</v>
      </c>
      <c r="E27" s="38">
        <f t="shared" ref="E27:AB27" si="11">E26+D27</f>
        <v>-12411.197580570803</v>
      </c>
      <c r="F27" s="38">
        <f t="shared" si="11"/>
        <v>-12411.197580570803</v>
      </c>
      <c r="G27" s="38">
        <f t="shared" si="11"/>
        <v>-12411.197580570803</v>
      </c>
      <c r="H27" s="38">
        <f t="shared" si="11"/>
        <v>-12411.197580570803</v>
      </c>
      <c r="I27" s="38">
        <f t="shared" si="11"/>
        <v>-12411.197580570803</v>
      </c>
      <c r="J27" s="38">
        <f t="shared" si="11"/>
        <v>-12411.197580570803</v>
      </c>
      <c r="K27" s="38">
        <f t="shared" si="11"/>
        <v>-12411.197580570803</v>
      </c>
      <c r="L27" s="38">
        <f t="shared" si="11"/>
        <v>-12411.197580570803</v>
      </c>
      <c r="M27" s="38">
        <f t="shared" si="11"/>
        <v>-11566.880876906627</v>
      </c>
      <c r="N27" s="38">
        <f t="shared" si="11"/>
        <v>-10559.548640341794</v>
      </c>
      <c r="O27" s="38">
        <f t="shared" si="11"/>
        <v>-9739.9909818534397</v>
      </c>
      <c r="P27" s="38">
        <f t="shared" si="11"/>
        <v>-9132.4089848953008</v>
      </c>
      <c r="Q27" s="38">
        <f t="shared" si="11"/>
        <v>-8580.1287007984865</v>
      </c>
      <c r="R27" s="38">
        <f t="shared" si="11"/>
        <v>-8078.1166114969565</v>
      </c>
      <c r="S27" s="38">
        <f t="shared" si="11"/>
        <v>-7621.7973450783184</v>
      </c>
      <c r="T27" s="38">
        <f t="shared" si="11"/>
        <v>-7207.0119758060264</v>
      </c>
      <c r="U27" s="38">
        <f t="shared" si="11"/>
        <v>-6829.9801196238741</v>
      </c>
      <c r="V27" s="38">
        <f t="shared" si="11"/>
        <v>-6487.265479683012</v>
      </c>
      <c r="W27" s="38">
        <f t="shared" si="11"/>
        <v>-6175.7445278749583</v>
      </c>
      <c r="X27" s="38">
        <f t="shared" si="11"/>
        <v>-5892.5780369354079</v>
      </c>
      <c r="Y27" s="38">
        <f t="shared" si="11"/>
        <v>-5635.1852036635428</v>
      </c>
      <c r="Z27" s="38">
        <f t="shared" si="11"/>
        <v>-5401.2201274168056</v>
      </c>
      <c r="AA27" s="38">
        <f t="shared" si="11"/>
        <v>-5188.5504295069231</v>
      </c>
      <c r="AB27" s="38">
        <f t="shared" si="11"/>
        <v>-4398.9043937468814</v>
      </c>
    </row>
    <row r="29" spans="1:28" x14ac:dyDescent="0.25">
      <c r="B29" s="12" t="s">
        <v>135</v>
      </c>
      <c r="C29" s="26">
        <f>NPV(0.1,D25:AB25)+C25</f>
        <v>-4398.9043937468859</v>
      </c>
    </row>
    <row r="30" spans="1:28" x14ac:dyDescent="0.25">
      <c r="B30" s="12" t="s">
        <v>139</v>
      </c>
      <c r="C30" s="45">
        <f>IRR(C25:AB25)</f>
        <v>7.0918817076409013E-2</v>
      </c>
    </row>
    <row r="31" spans="1:28" x14ac:dyDescent="0.25">
      <c r="B31" s="12" t="s">
        <v>140</v>
      </c>
      <c r="C31" s="98" t="s">
        <v>142</v>
      </c>
    </row>
    <row r="33" spans="3:3" x14ac:dyDescent="0.25">
      <c r="C33" s="6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2"/>
  <sheetViews>
    <sheetView workbookViewId="0">
      <pane ySplit="4" topLeftCell="A5" activePane="bottomLeft" state="frozen"/>
      <selection pane="bottomLeft" activeCell="G16" sqref="G16"/>
    </sheetView>
  </sheetViews>
  <sheetFormatPr baseColWidth="10" defaultColWidth="11.42578125" defaultRowHeight="15" x14ac:dyDescent="0.25"/>
  <cols>
    <col min="5" max="5" width="11.7109375" bestFit="1" customWidth="1"/>
    <col min="11" max="11" width="12.42578125" bestFit="1" customWidth="1"/>
  </cols>
  <sheetData>
    <row r="1" spans="1:11" x14ac:dyDescent="0.25">
      <c r="A1" s="12" t="s">
        <v>162</v>
      </c>
      <c r="B1" s="16">
        <f>'Flujo de caja 50%'!C23</f>
        <v>12411.197580570803</v>
      </c>
    </row>
    <row r="2" spans="1:11" x14ac:dyDescent="0.25">
      <c r="A2" s="12" t="s">
        <v>164</v>
      </c>
      <c r="B2" s="47">
        <f>IF(B1&gt;2000,(0.0487),(0.0509))</f>
        <v>4.87E-2</v>
      </c>
      <c r="C2" s="11"/>
      <c r="D2" s="64"/>
    </row>
    <row r="3" spans="1:11" x14ac:dyDescent="0.25">
      <c r="A3" s="12" t="s">
        <v>167</v>
      </c>
      <c r="B3" s="15">
        <v>5</v>
      </c>
    </row>
    <row r="4" spans="1:11" x14ac:dyDescent="0.25">
      <c r="A4" s="12" t="s">
        <v>168</v>
      </c>
      <c r="B4" s="25">
        <f>PMT(B2,B3,-B1)</f>
        <v>2856.3799444580773</v>
      </c>
    </row>
    <row r="6" spans="1:11" x14ac:dyDescent="0.25">
      <c r="A6" s="159" t="s">
        <v>169</v>
      </c>
      <c r="B6" s="159" t="s">
        <v>170</v>
      </c>
      <c r="C6" s="159" t="s">
        <v>168</v>
      </c>
      <c r="D6" s="159" t="s">
        <v>165</v>
      </c>
      <c r="E6" s="159" t="s">
        <v>166</v>
      </c>
      <c r="F6" s="159" t="s">
        <v>171</v>
      </c>
      <c r="H6" s="159" t="s">
        <v>169</v>
      </c>
      <c r="I6" s="159" t="s">
        <v>164</v>
      </c>
      <c r="J6" s="159" t="s">
        <v>165</v>
      </c>
      <c r="K6" s="159" t="s">
        <v>166</v>
      </c>
    </row>
    <row r="7" spans="1:11" x14ac:dyDescent="0.25">
      <c r="A7" s="46">
        <v>1</v>
      </c>
      <c r="B7" s="16">
        <f>B1</f>
        <v>12411.197580570803</v>
      </c>
      <c r="C7" s="25">
        <f>$B$4</f>
        <v>2856.3799444580773</v>
      </c>
      <c r="D7" s="25">
        <f>B7*$B$2</f>
        <v>604.42532217379812</v>
      </c>
      <c r="E7" s="25">
        <f>C7-D7</f>
        <v>2251.9546222842791</v>
      </c>
      <c r="F7" s="16">
        <f>B7-E7</f>
        <v>10159.242958286522</v>
      </c>
      <c r="H7" s="46">
        <v>2</v>
      </c>
      <c r="I7" s="108">
        <f>B18</f>
        <v>4.87E-2</v>
      </c>
      <c r="J7" s="25">
        <f>D23</f>
        <v>204.60387263954658</v>
      </c>
      <c r="K7" s="25">
        <f>E23</f>
        <v>4201.311553173442</v>
      </c>
    </row>
    <row r="8" spans="1:11" x14ac:dyDescent="0.25">
      <c r="A8" s="46">
        <v>2</v>
      </c>
      <c r="B8" s="16">
        <f>B7-E7</f>
        <v>10159.242958286522</v>
      </c>
      <c r="C8" s="25">
        <f>$B$4</f>
        <v>2856.3799444580773</v>
      </c>
      <c r="D8" s="25">
        <f>B8*$B$2</f>
        <v>494.75513206855362</v>
      </c>
      <c r="E8" s="25">
        <f>C8-D8</f>
        <v>2361.6248123895239</v>
      </c>
      <c r="F8" s="16">
        <f>B8-E8</f>
        <v>7797.6181458969986</v>
      </c>
      <c r="H8" s="46">
        <v>3</v>
      </c>
      <c r="I8" s="108">
        <f>B27</f>
        <v>4.87E-2</v>
      </c>
      <c r="J8" s="25">
        <f>D32</f>
        <v>412.90995147014684</v>
      </c>
      <c r="K8" s="25">
        <f>E32</f>
        <v>8478.6437673541459</v>
      </c>
    </row>
    <row r="9" spans="1:11" x14ac:dyDescent="0.25">
      <c r="A9" s="46">
        <v>3</v>
      </c>
      <c r="B9" s="16">
        <f>B8-E8</f>
        <v>7797.6181458969986</v>
      </c>
      <c r="C9" s="25">
        <f>$B$4</f>
        <v>2856.3799444580773</v>
      </c>
      <c r="D9" s="25">
        <f>B9*$B$2</f>
        <v>379.74400370518384</v>
      </c>
      <c r="E9" s="25">
        <f>C9-D9</f>
        <v>2476.6359407528935</v>
      </c>
      <c r="F9" s="16">
        <f>B9-E9</f>
        <v>5320.9822051441051</v>
      </c>
      <c r="H9" s="46">
        <v>4</v>
      </c>
      <c r="I9" s="108">
        <f>B36</f>
        <v>4.87E-2</v>
      </c>
      <c r="J9" s="25">
        <f>D41</f>
        <v>478.49967393832981</v>
      </c>
      <c r="K9" s="25">
        <f>E41</f>
        <v>9825.4553170088275</v>
      </c>
    </row>
    <row r="10" spans="1:11" x14ac:dyDescent="0.25">
      <c r="A10" s="46">
        <v>4</v>
      </c>
      <c r="B10" s="16">
        <f>B9-E9</f>
        <v>5320.9822051441051</v>
      </c>
      <c r="C10" s="25">
        <f>$B$4</f>
        <v>2856.3799444580773</v>
      </c>
      <c r="D10" s="25">
        <f>B10*$B$2</f>
        <v>259.1318333905179</v>
      </c>
      <c r="E10" s="25">
        <f>C10-D10</f>
        <v>2597.2481110675594</v>
      </c>
      <c r="F10" s="16">
        <f>B10-E10</f>
        <v>2723.7340940765457</v>
      </c>
      <c r="H10" s="46">
        <v>5</v>
      </c>
      <c r="I10" s="108">
        <f>B45</f>
        <v>4.87E-2</v>
      </c>
      <c r="J10" s="25">
        <f>D50</f>
        <v>500.82394570592641</v>
      </c>
      <c r="K10" s="25">
        <f>E50</f>
        <v>10283.859254741819</v>
      </c>
    </row>
    <row r="11" spans="1:11" x14ac:dyDescent="0.25">
      <c r="A11" s="46">
        <v>5</v>
      </c>
      <c r="B11" s="16">
        <f>B10-E10</f>
        <v>2723.7340940765457</v>
      </c>
      <c r="C11" s="25">
        <f>$B$4</f>
        <v>2856.3799444580773</v>
      </c>
      <c r="D11" s="25">
        <f>B11*$B$2</f>
        <v>132.64585038152777</v>
      </c>
      <c r="E11" s="25">
        <f>C11-D11</f>
        <v>2723.7340940765494</v>
      </c>
      <c r="F11" s="16">
        <f>B11-E11</f>
        <v>-3.637978807091713E-12</v>
      </c>
      <c r="H11" s="46">
        <v>6</v>
      </c>
      <c r="I11" s="108">
        <f>B54</f>
        <v>4.87E-2</v>
      </c>
      <c r="J11" s="25">
        <f>D59</f>
        <v>524.25237970482863</v>
      </c>
      <c r="K11" s="25">
        <f>E59</f>
        <v>10764.935928230569</v>
      </c>
    </row>
    <row r="12" spans="1:11" x14ac:dyDescent="0.25">
      <c r="B12" s="3"/>
      <c r="C12" s="9"/>
      <c r="D12" s="9"/>
      <c r="E12" s="9"/>
      <c r="F12" s="3"/>
      <c r="H12" s="109">
        <v>7</v>
      </c>
      <c r="I12" s="108">
        <f>B63</f>
        <v>4.87E-2</v>
      </c>
      <c r="J12" s="14">
        <f>D68</f>
        <v>409.73304534059235</v>
      </c>
      <c r="K12" s="14">
        <f>E68</f>
        <v>8413.4095552483068</v>
      </c>
    </row>
    <row r="13" spans="1:11" x14ac:dyDescent="0.25">
      <c r="B13" s="3"/>
      <c r="C13" s="9"/>
      <c r="D13" s="9"/>
      <c r="E13" s="9">
        <f>SUM(E7:E11)</f>
        <v>12411.197580570806</v>
      </c>
      <c r="F13" s="3"/>
      <c r="H13" s="109">
        <v>8</v>
      </c>
      <c r="I13" s="108">
        <f>B72</f>
        <v>4.87E-2</v>
      </c>
      <c r="J13" s="14">
        <f>D77</f>
        <v>289.65358958904159</v>
      </c>
      <c r="K13" s="14">
        <f>E77</f>
        <v>5947.7123118899717</v>
      </c>
    </row>
    <row r="14" spans="1:11" x14ac:dyDescent="0.25">
      <c r="B14" s="3"/>
      <c r="C14" s="9"/>
      <c r="D14" s="9"/>
      <c r="E14" s="9"/>
      <c r="F14" s="3"/>
      <c r="H14" s="46">
        <v>9</v>
      </c>
      <c r="I14" s="108">
        <f>B81</f>
        <v>4.87E-2</v>
      </c>
      <c r="J14" s="25">
        <f>D86</f>
        <v>163.74323453861365</v>
      </c>
      <c r="K14" s="25">
        <f>E86</f>
        <v>3362.2840767682478</v>
      </c>
    </row>
    <row r="15" spans="1:11" x14ac:dyDescent="0.25">
      <c r="A15" t="s">
        <v>173</v>
      </c>
      <c r="B15" s="3"/>
      <c r="C15" s="9"/>
      <c r="D15" s="9"/>
      <c r="E15" s="9"/>
      <c r="F15" s="3"/>
      <c r="H15" s="46">
        <v>10</v>
      </c>
      <c r="I15" s="108">
        <f>B90</f>
        <v>5.0900000000000001E-2</v>
      </c>
      <c r="J15" s="25">
        <f>D95</f>
        <v>33.15086208473879</v>
      </c>
      <c r="K15" s="25">
        <f>E95</f>
        <v>651.29395058425905</v>
      </c>
    </row>
    <row r="16" spans="1:11" x14ac:dyDescent="0.25">
      <c r="B16" s="3"/>
      <c r="C16" s="9"/>
      <c r="D16" s="9"/>
      <c r="E16" s="9"/>
      <c r="F16" s="3"/>
    </row>
    <row r="17" spans="1:6" x14ac:dyDescent="0.25">
      <c r="A17" s="12" t="s">
        <v>162</v>
      </c>
      <c r="B17" s="16">
        <f>'Flujo de caja 50%'!D24</f>
        <v>4201.3115531734411</v>
      </c>
    </row>
    <row r="18" spans="1:6" x14ac:dyDescent="0.25">
      <c r="A18" s="12" t="s">
        <v>164</v>
      </c>
      <c r="B18" s="47">
        <f>IF(B17&gt;2000,(0.0487),(0.0509))</f>
        <v>4.87E-2</v>
      </c>
      <c r="C18" s="11"/>
    </row>
    <row r="19" spans="1:6" x14ac:dyDescent="0.25">
      <c r="A19" s="12" t="s">
        <v>167</v>
      </c>
      <c r="B19" s="15">
        <v>1</v>
      </c>
    </row>
    <row r="20" spans="1:6" x14ac:dyDescent="0.25">
      <c r="A20" s="12" t="s">
        <v>168</v>
      </c>
      <c r="B20" s="25">
        <f>PMT(B18,B19,-B17)</f>
        <v>4405.9154258129884</v>
      </c>
    </row>
    <row r="22" spans="1:6" x14ac:dyDescent="0.25">
      <c r="A22" s="159" t="s">
        <v>169</v>
      </c>
      <c r="B22" s="159" t="s">
        <v>170</v>
      </c>
      <c r="C22" s="159" t="s">
        <v>168</v>
      </c>
      <c r="D22" s="159" t="s">
        <v>165</v>
      </c>
      <c r="E22" s="159" t="s">
        <v>166</v>
      </c>
      <c r="F22" s="159" t="s">
        <v>171</v>
      </c>
    </row>
    <row r="23" spans="1:6" x14ac:dyDescent="0.25">
      <c r="A23" s="46">
        <v>2</v>
      </c>
      <c r="B23" s="16">
        <f>B17</f>
        <v>4201.3115531734411</v>
      </c>
      <c r="C23" s="25">
        <f>$B$20</f>
        <v>4405.9154258129884</v>
      </c>
      <c r="D23" s="25">
        <f>B23*$B$18</f>
        <v>204.60387263954658</v>
      </c>
      <c r="E23" s="25">
        <f>C23-D23</f>
        <v>4201.311553173442</v>
      </c>
      <c r="F23" s="16">
        <f>B23-E23</f>
        <v>0</v>
      </c>
    </row>
    <row r="24" spans="1:6" x14ac:dyDescent="0.25">
      <c r="A24" s="61"/>
      <c r="B24" s="62"/>
      <c r="C24" s="63"/>
      <c r="D24" s="63"/>
      <c r="E24" s="63"/>
      <c r="F24" s="62"/>
    </row>
    <row r="25" spans="1:6" x14ac:dyDescent="0.25">
      <c r="A25" s="58"/>
      <c r="B25" s="59"/>
      <c r="C25" s="60"/>
      <c r="D25" s="60"/>
      <c r="E25" s="60"/>
      <c r="F25" s="59"/>
    </row>
    <row r="26" spans="1:6" x14ac:dyDescent="0.25">
      <c r="A26" s="12" t="s">
        <v>162</v>
      </c>
      <c r="B26" s="16">
        <f>'Flujo de caja 50%'!E24</f>
        <v>8478.6437673541441</v>
      </c>
      <c r="C26" s="60"/>
      <c r="D26" s="60"/>
      <c r="E26" s="60"/>
      <c r="F26" s="59"/>
    </row>
    <row r="27" spans="1:6" x14ac:dyDescent="0.25">
      <c r="A27" s="12" t="s">
        <v>164</v>
      </c>
      <c r="B27" s="47">
        <f>IF(B26&gt;2000,(0.0487),(0.0509))</f>
        <v>4.87E-2</v>
      </c>
      <c r="C27" s="60"/>
      <c r="D27" s="60"/>
      <c r="E27" s="60"/>
      <c r="F27" s="59"/>
    </row>
    <row r="28" spans="1:6" x14ac:dyDescent="0.25">
      <c r="A28" s="12" t="s">
        <v>167</v>
      </c>
      <c r="B28" s="15">
        <v>1</v>
      </c>
      <c r="C28" s="9"/>
      <c r="D28" s="9"/>
      <c r="E28" s="9"/>
      <c r="F28" s="3"/>
    </row>
    <row r="29" spans="1:6" x14ac:dyDescent="0.25">
      <c r="A29" s="12" t="s">
        <v>168</v>
      </c>
      <c r="B29" s="25">
        <f>PMT(B27,B28,-B26)</f>
        <v>8891.5537188242924</v>
      </c>
      <c r="C29" s="9"/>
      <c r="D29" s="9"/>
      <c r="E29" s="9"/>
      <c r="F29" s="3"/>
    </row>
    <row r="30" spans="1:6" x14ac:dyDescent="0.25">
      <c r="B30" s="3"/>
      <c r="C30" s="9"/>
      <c r="D30" s="9"/>
      <c r="E30" s="9"/>
      <c r="F30" s="3"/>
    </row>
    <row r="31" spans="1:6" x14ac:dyDescent="0.25">
      <c r="A31" s="159" t="s">
        <v>169</v>
      </c>
      <c r="B31" s="159" t="s">
        <v>170</v>
      </c>
      <c r="C31" s="159" t="s">
        <v>168</v>
      </c>
      <c r="D31" s="159" t="s">
        <v>165</v>
      </c>
      <c r="E31" s="159" t="s">
        <v>166</v>
      </c>
      <c r="F31" s="159" t="s">
        <v>171</v>
      </c>
    </row>
    <row r="32" spans="1:6" x14ac:dyDescent="0.25">
      <c r="A32" s="46">
        <v>3</v>
      </c>
      <c r="B32" s="16">
        <f>B26</f>
        <v>8478.6437673541441</v>
      </c>
      <c r="C32" s="25">
        <f>B29</f>
        <v>8891.5537188242924</v>
      </c>
      <c r="D32" s="25">
        <f>B32*B27</f>
        <v>412.90995147014684</v>
      </c>
      <c r="E32" s="25">
        <f>C32-D32</f>
        <v>8478.6437673541459</v>
      </c>
      <c r="F32" s="16">
        <f>B32-E32</f>
        <v>0</v>
      </c>
    </row>
    <row r="33" spans="1:6" x14ac:dyDescent="0.25">
      <c r="A33" s="65"/>
      <c r="B33" s="64"/>
      <c r="C33" s="64"/>
      <c r="D33" s="64"/>
      <c r="E33" s="64"/>
      <c r="F33" s="64"/>
    </row>
    <row r="34" spans="1:6" x14ac:dyDescent="0.25">
      <c r="A34" s="65"/>
      <c r="B34" s="60"/>
      <c r="C34" s="64"/>
      <c r="D34" s="64"/>
      <c r="E34" s="64"/>
      <c r="F34" s="64"/>
    </row>
    <row r="35" spans="1:6" x14ac:dyDescent="0.25">
      <c r="A35" s="12" t="s">
        <v>162</v>
      </c>
      <c r="B35" s="16">
        <f>'Flujo de caja 50%'!F24</f>
        <v>9825.4553170088257</v>
      </c>
      <c r="C35" s="60"/>
      <c r="D35" s="60"/>
      <c r="E35" s="60"/>
      <c r="F35" s="59"/>
    </row>
    <row r="36" spans="1:6" x14ac:dyDescent="0.25">
      <c r="A36" s="12" t="s">
        <v>164</v>
      </c>
      <c r="B36" s="47">
        <f>IF(B35&gt;2000,(0.0487),(0.0509))</f>
        <v>4.87E-2</v>
      </c>
      <c r="C36" s="60"/>
      <c r="D36" s="60"/>
      <c r="E36" s="60"/>
      <c r="F36" s="59"/>
    </row>
    <row r="37" spans="1:6" x14ac:dyDescent="0.25">
      <c r="A37" s="12" t="s">
        <v>167</v>
      </c>
      <c r="B37" s="15">
        <v>1</v>
      </c>
      <c r="C37" s="9"/>
      <c r="D37" s="9"/>
      <c r="E37" s="9"/>
      <c r="F37" s="3"/>
    </row>
    <row r="38" spans="1:6" x14ac:dyDescent="0.25">
      <c r="A38" s="12" t="s">
        <v>168</v>
      </c>
      <c r="B38" s="25">
        <f>PMT(B36,B37,-B35)</f>
        <v>10303.954990947157</v>
      </c>
      <c r="C38" s="9"/>
      <c r="D38" s="9"/>
      <c r="E38" s="9"/>
      <c r="F38" s="3"/>
    </row>
    <row r="39" spans="1:6" x14ac:dyDescent="0.25">
      <c r="B39" s="3"/>
      <c r="C39" s="9"/>
      <c r="D39" s="9"/>
      <c r="E39" s="9"/>
      <c r="F39" s="3"/>
    </row>
    <row r="40" spans="1:6" x14ac:dyDescent="0.25">
      <c r="A40" s="159" t="s">
        <v>169</v>
      </c>
      <c r="B40" s="159" t="s">
        <v>170</v>
      </c>
      <c r="C40" s="159" t="s">
        <v>168</v>
      </c>
      <c r="D40" s="159" t="s">
        <v>165</v>
      </c>
      <c r="E40" s="159" t="s">
        <v>166</v>
      </c>
      <c r="F40" s="159" t="s">
        <v>171</v>
      </c>
    </row>
    <row r="41" spans="1:6" x14ac:dyDescent="0.25">
      <c r="A41" s="46">
        <v>4</v>
      </c>
      <c r="B41" s="16">
        <f>B35</f>
        <v>9825.4553170088257</v>
      </c>
      <c r="C41" s="25">
        <f>B38</f>
        <v>10303.954990947157</v>
      </c>
      <c r="D41" s="25">
        <f>B41*B36</f>
        <v>478.49967393832981</v>
      </c>
      <c r="E41" s="25">
        <f>C41-D41</f>
        <v>9825.4553170088275</v>
      </c>
      <c r="F41" s="16">
        <f>B41-E41</f>
        <v>0</v>
      </c>
    </row>
    <row r="42" spans="1:6" x14ac:dyDescent="0.25">
      <c r="B42" s="3"/>
      <c r="C42" s="9"/>
      <c r="D42" s="9"/>
      <c r="E42" s="9"/>
      <c r="F42" s="3"/>
    </row>
    <row r="43" spans="1:6" x14ac:dyDescent="0.25">
      <c r="B43" s="3"/>
      <c r="C43" s="9"/>
      <c r="D43" s="9"/>
      <c r="E43" s="9"/>
      <c r="F43" s="3"/>
    </row>
    <row r="44" spans="1:6" x14ac:dyDescent="0.25">
      <c r="A44" s="12" t="s">
        <v>162</v>
      </c>
      <c r="B44" s="16">
        <f>'Flujo de caja 50%'!G24</f>
        <v>10283.859254741816</v>
      </c>
      <c r="C44" s="60"/>
      <c r="D44" s="60"/>
      <c r="E44" s="60"/>
      <c r="F44" s="59"/>
    </row>
    <row r="45" spans="1:6" x14ac:dyDescent="0.25">
      <c r="A45" s="12" t="s">
        <v>164</v>
      </c>
      <c r="B45" s="47">
        <f>IF(B44&gt;2000,(0.0487),(0.0509))</f>
        <v>4.87E-2</v>
      </c>
      <c r="C45" s="60"/>
      <c r="D45" s="60"/>
      <c r="E45" s="60"/>
      <c r="F45" s="59"/>
    </row>
    <row r="46" spans="1:6" x14ac:dyDescent="0.25">
      <c r="A46" s="12" t="s">
        <v>167</v>
      </c>
      <c r="B46" s="15">
        <v>1</v>
      </c>
      <c r="C46" s="9"/>
      <c r="D46" s="9"/>
      <c r="E46" s="9"/>
      <c r="F46" s="3"/>
    </row>
    <row r="47" spans="1:6" x14ac:dyDescent="0.25">
      <c r="A47" s="12" t="s">
        <v>168</v>
      </c>
      <c r="B47" s="25">
        <f>PMT(B45,B46,-B44)</f>
        <v>10784.683200447746</v>
      </c>
      <c r="C47" s="9"/>
      <c r="D47" s="9"/>
      <c r="E47" s="9"/>
      <c r="F47" s="3"/>
    </row>
    <row r="48" spans="1:6" x14ac:dyDescent="0.25">
      <c r="B48" s="3"/>
      <c r="C48" s="9"/>
      <c r="D48" s="9"/>
      <c r="E48" s="9"/>
      <c r="F48" s="3"/>
    </row>
    <row r="49" spans="1:6" x14ac:dyDescent="0.25">
      <c r="A49" s="159" t="s">
        <v>169</v>
      </c>
      <c r="B49" s="159" t="s">
        <v>170</v>
      </c>
      <c r="C49" s="159" t="s">
        <v>168</v>
      </c>
      <c r="D49" s="159" t="s">
        <v>165</v>
      </c>
      <c r="E49" s="159" t="s">
        <v>166</v>
      </c>
      <c r="F49" s="159" t="s">
        <v>171</v>
      </c>
    </row>
    <row r="50" spans="1:6" x14ac:dyDescent="0.25">
      <c r="A50" s="46">
        <v>5</v>
      </c>
      <c r="B50" s="16">
        <f>B44</f>
        <v>10283.859254741816</v>
      </c>
      <c r="C50" s="25">
        <f>B47</f>
        <v>10784.683200447746</v>
      </c>
      <c r="D50" s="25">
        <f>B50*B45</f>
        <v>500.82394570592641</v>
      </c>
      <c r="E50" s="25">
        <f>C50-D50</f>
        <v>10283.859254741819</v>
      </c>
      <c r="F50" s="16">
        <f>B50-E50</f>
        <v>0</v>
      </c>
    </row>
    <row r="51" spans="1:6" x14ac:dyDescent="0.25">
      <c r="B51" s="3"/>
      <c r="C51" s="9"/>
      <c r="D51" s="9"/>
      <c r="E51" s="9"/>
      <c r="F51" s="3"/>
    </row>
    <row r="52" spans="1:6" x14ac:dyDescent="0.25">
      <c r="B52" s="3"/>
      <c r="C52" s="9"/>
      <c r="D52" s="9"/>
      <c r="E52" s="9"/>
      <c r="F52" s="3"/>
    </row>
    <row r="53" spans="1:6" x14ac:dyDescent="0.25">
      <c r="A53" s="12" t="s">
        <v>162</v>
      </c>
      <c r="B53" s="16">
        <f>'Flujo de caja 50%'!H24</f>
        <v>10764.935928230567</v>
      </c>
      <c r="C53" s="60"/>
      <c r="D53" s="60"/>
      <c r="E53" s="60"/>
      <c r="F53" s="59"/>
    </row>
    <row r="54" spans="1:6" x14ac:dyDescent="0.25">
      <c r="A54" s="12" t="s">
        <v>164</v>
      </c>
      <c r="B54" s="47">
        <f>IF(B53&gt;2000,(0.0487),(0.0509))</f>
        <v>4.87E-2</v>
      </c>
      <c r="C54" s="60"/>
      <c r="D54" s="60"/>
      <c r="E54" s="60"/>
      <c r="F54" s="59"/>
    </row>
    <row r="55" spans="1:6" x14ac:dyDescent="0.25">
      <c r="A55" s="12" t="s">
        <v>167</v>
      </c>
      <c r="B55" s="15">
        <v>1</v>
      </c>
      <c r="C55" s="9"/>
      <c r="D55" s="9"/>
      <c r="E55" s="9"/>
      <c r="F55" s="3"/>
    </row>
    <row r="56" spans="1:6" x14ac:dyDescent="0.25">
      <c r="A56" s="12" t="s">
        <v>168</v>
      </c>
      <c r="B56" s="25">
        <f>PMT(B54,B55,-B53)</f>
        <v>11289.188307935397</v>
      </c>
      <c r="C56" s="9"/>
      <c r="D56" s="9"/>
      <c r="E56" s="9"/>
      <c r="F56" s="3"/>
    </row>
    <row r="57" spans="1:6" x14ac:dyDescent="0.25">
      <c r="B57" s="3"/>
      <c r="C57" s="9"/>
      <c r="D57" s="9"/>
      <c r="E57" s="9"/>
      <c r="F57" s="3"/>
    </row>
    <row r="58" spans="1:6" x14ac:dyDescent="0.25">
      <c r="A58" s="159" t="s">
        <v>169</v>
      </c>
      <c r="B58" s="159" t="s">
        <v>170</v>
      </c>
      <c r="C58" s="159" t="s">
        <v>168</v>
      </c>
      <c r="D58" s="159" t="s">
        <v>165</v>
      </c>
      <c r="E58" s="159" t="s">
        <v>166</v>
      </c>
      <c r="F58" s="159" t="s">
        <v>171</v>
      </c>
    </row>
    <row r="59" spans="1:6" x14ac:dyDescent="0.25">
      <c r="A59" s="46">
        <v>6</v>
      </c>
      <c r="B59" s="16">
        <f>B53</f>
        <v>10764.935928230567</v>
      </c>
      <c r="C59" s="25">
        <f>B56</f>
        <v>11289.188307935397</v>
      </c>
      <c r="D59" s="25">
        <f>B59*B54</f>
        <v>524.25237970482863</v>
      </c>
      <c r="E59" s="25">
        <f>C59-D59</f>
        <v>10764.935928230569</v>
      </c>
      <c r="F59" s="16">
        <f>B59-E59</f>
        <v>0</v>
      </c>
    </row>
    <row r="60" spans="1:6" x14ac:dyDescent="0.25">
      <c r="B60" s="3"/>
      <c r="C60" s="9"/>
      <c r="D60" s="9"/>
      <c r="E60" s="9"/>
      <c r="F60" s="3"/>
    </row>
    <row r="61" spans="1:6" x14ac:dyDescent="0.25">
      <c r="B61" s="3"/>
      <c r="C61" s="9"/>
      <c r="D61" s="9"/>
      <c r="E61" s="9"/>
      <c r="F61" s="3"/>
    </row>
    <row r="62" spans="1:6" x14ac:dyDescent="0.25">
      <c r="A62" s="12" t="s">
        <v>162</v>
      </c>
      <c r="B62" s="16">
        <f>'Flujo de caja 50%'!I24</f>
        <v>8413.4095552483031</v>
      </c>
      <c r="C62" s="60"/>
      <c r="D62" s="60"/>
      <c r="E62" s="60"/>
      <c r="F62" s="59"/>
    </row>
    <row r="63" spans="1:6" x14ac:dyDescent="0.25">
      <c r="A63" s="12" t="s">
        <v>164</v>
      </c>
      <c r="B63" s="47">
        <f>IF(B62&gt;2000,(0.0487),(0.0509))</f>
        <v>4.87E-2</v>
      </c>
      <c r="C63" s="60"/>
      <c r="D63" s="60"/>
      <c r="E63" s="60"/>
      <c r="F63" s="59"/>
    </row>
    <row r="64" spans="1:6" x14ac:dyDescent="0.25">
      <c r="A64" s="12" t="s">
        <v>167</v>
      </c>
      <c r="B64" s="15">
        <v>1</v>
      </c>
      <c r="C64" s="9"/>
      <c r="D64" s="9"/>
      <c r="E64" s="9"/>
      <c r="F64" s="3"/>
    </row>
    <row r="65" spans="1:6" x14ac:dyDescent="0.25">
      <c r="A65" s="12" t="s">
        <v>168</v>
      </c>
      <c r="B65" s="25">
        <f>PMT(B63,B64,-B62)</f>
        <v>8823.1426005888989</v>
      </c>
      <c r="C65" s="9"/>
      <c r="D65" s="9"/>
      <c r="E65" s="9"/>
      <c r="F65" s="3"/>
    </row>
    <row r="66" spans="1:6" x14ac:dyDescent="0.25">
      <c r="B66" s="3"/>
      <c r="C66" s="9"/>
      <c r="D66" s="9"/>
      <c r="E66" s="9"/>
      <c r="F66" s="3"/>
    </row>
    <row r="67" spans="1:6" x14ac:dyDescent="0.25">
      <c r="A67" s="159" t="s">
        <v>169</v>
      </c>
      <c r="B67" s="159" t="s">
        <v>170</v>
      </c>
      <c r="C67" s="159" t="s">
        <v>168</v>
      </c>
      <c r="D67" s="159" t="s">
        <v>165</v>
      </c>
      <c r="E67" s="159" t="s">
        <v>166</v>
      </c>
      <c r="F67" s="159" t="s">
        <v>171</v>
      </c>
    </row>
    <row r="68" spans="1:6" x14ac:dyDescent="0.25">
      <c r="A68" s="46">
        <v>7</v>
      </c>
      <c r="B68" s="16">
        <f>B62</f>
        <v>8413.4095552483031</v>
      </c>
      <c r="C68" s="25">
        <f>B65</f>
        <v>8823.1426005888989</v>
      </c>
      <c r="D68" s="25">
        <f>B68*B63</f>
        <v>409.73304534059235</v>
      </c>
      <c r="E68" s="25">
        <f>C68-D68</f>
        <v>8413.4095552483068</v>
      </c>
      <c r="F68" s="16">
        <f>B68-E68</f>
        <v>0</v>
      </c>
    </row>
    <row r="71" spans="1:6" x14ac:dyDescent="0.25">
      <c r="A71" s="12" t="s">
        <v>162</v>
      </c>
      <c r="B71" s="16">
        <f>'Flujo de caja 50%'!J24</f>
        <v>5947.7123118899708</v>
      </c>
      <c r="C71" s="60"/>
      <c r="D71" s="60"/>
      <c r="E71" s="60"/>
      <c r="F71" s="59"/>
    </row>
    <row r="72" spans="1:6" x14ac:dyDescent="0.25">
      <c r="A72" s="12" t="s">
        <v>164</v>
      </c>
      <c r="B72" s="47">
        <f>IF(B71&gt;2000,(0.0487),(0.0509))</f>
        <v>4.87E-2</v>
      </c>
      <c r="C72" s="60"/>
      <c r="D72" s="60"/>
      <c r="E72" s="60"/>
      <c r="F72" s="59"/>
    </row>
    <row r="73" spans="1:6" x14ac:dyDescent="0.25">
      <c r="A73" s="12" t="s">
        <v>167</v>
      </c>
      <c r="B73" s="15">
        <v>1</v>
      </c>
      <c r="C73" s="9"/>
      <c r="D73" s="9"/>
      <c r="E73" s="9"/>
      <c r="F73" s="3"/>
    </row>
    <row r="74" spans="1:6" x14ac:dyDescent="0.25">
      <c r="A74" s="12" t="s">
        <v>168</v>
      </c>
      <c r="B74" s="25">
        <f>PMT(B72,B73,-B71)</f>
        <v>6237.3659014790137</v>
      </c>
      <c r="C74" s="9"/>
      <c r="D74" s="9"/>
      <c r="E74" s="9"/>
      <c r="F74" s="3"/>
    </row>
    <row r="75" spans="1:6" x14ac:dyDescent="0.25">
      <c r="B75" s="3"/>
      <c r="C75" s="9"/>
      <c r="D75" s="9"/>
      <c r="E75" s="9"/>
      <c r="F75" s="3"/>
    </row>
    <row r="76" spans="1:6" x14ac:dyDescent="0.25">
      <c r="A76" s="159" t="s">
        <v>169</v>
      </c>
      <c r="B76" s="159" t="s">
        <v>170</v>
      </c>
      <c r="C76" s="159" t="s">
        <v>168</v>
      </c>
      <c r="D76" s="159" t="s">
        <v>165</v>
      </c>
      <c r="E76" s="159" t="s">
        <v>166</v>
      </c>
      <c r="F76" s="159" t="s">
        <v>171</v>
      </c>
    </row>
    <row r="77" spans="1:6" x14ac:dyDescent="0.25">
      <c r="A77" s="46">
        <v>8</v>
      </c>
      <c r="B77" s="16">
        <f>B71</f>
        <v>5947.7123118899708</v>
      </c>
      <c r="C77" s="25">
        <f>B74</f>
        <v>6237.3659014790137</v>
      </c>
      <c r="D77" s="25">
        <f>B77*B72</f>
        <v>289.65358958904159</v>
      </c>
      <c r="E77" s="25">
        <f>C77-D77</f>
        <v>5947.7123118899717</v>
      </c>
      <c r="F77" s="16">
        <f>B77-E77</f>
        <v>0</v>
      </c>
    </row>
    <row r="80" spans="1:6" x14ac:dyDescent="0.25">
      <c r="A80" s="12" t="s">
        <v>162</v>
      </c>
      <c r="B80" s="16">
        <f>'Flujo de caja 50%'!K24</f>
        <v>3362.2840767682474</v>
      </c>
      <c r="C80" s="60"/>
      <c r="D80" s="60"/>
      <c r="E80" s="60"/>
      <c r="F80" s="59"/>
    </row>
    <row r="81" spans="1:6" x14ac:dyDescent="0.25">
      <c r="A81" s="12" t="s">
        <v>164</v>
      </c>
      <c r="B81" s="47">
        <f>IF(B80&gt;2000,(0.0487),(0.0509))</f>
        <v>4.87E-2</v>
      </c>
      <c r="C81" s="60"/>
      <c r="D81" s="60"/>
      <c r="E81" s="60"/>
      <c r="F81" s="59"/>
    </row>
    <row r="82" spans="1:6" x14ac:dyDescent="0.25">
      <c r="A82" s="12" t="s">
        <v>167</v>
      </c>
      <c r="B82" s="15">
        <v>1</v>
      </c>
      <c r="C82" s="9"/>
      <c r="D82" s="9"/>
      <c r="E82" s="9"/>
      <c r="F82" s="3"/>
    </row>
    <row r="83" spans="1:6" x14ac:dyDescent="0.25">
      <c r="A83" s="12" t="s">
        <v>168</v>
      </c>
      <c r="B83" s="25">
        <f>PMT(B81,B82,-B80)</f>
        <v>3526.0273113068615</v>
      </c>
      <c r="C83" s="9"/>
      <c r="D83" s="9"/>
      <c r="E83" s="9"/>
      <c r="F83" s="3"/>
    </row>
    <row r="84" spans="1:6" x14ac:dyDescent="0.25">
      <c r="B84" s="3"/>
      <c r="C84" s="9"/>
      <c r="D84" s="9"/>
      <c r="E84" s="9"/>
      <c r="F84" s="3"/>
    </row>
    <row r="85" spans="1:6" x14ac:dyDescent="0.25">
      <c r="A85" s="159" t="s">
        <v>169</v>
      </c>
      <c r="B85" s="159" t="s">
        <v>170</v>
      </c>
      <c r="C85" s="159" t="s">
        <v>168</v>
      </c>
      <c r="D85" s="159" t="s">
        <v>165</v>
      </c>
      <c r="E85" s="159" t="s">
        <v>166</v>
      </c>
      <c r="F85" s="159" t="s">
        <v>171</v>
      </c>
    </row>
    <row r="86" spans="1:6" x14ac:dyDescent="0.25">
      <c r="A86" s="46">
        <v>9</v>
      </c>
      <c r="B86" s="16">
        <f>B80</f>
        <v>3362.2840767682474</v>
      </c>
      <c r="C86" s="25">
        <f>B83</f>
        <v>3526.0273113068615</v>
      </c>
      <c r="D86" s="25">
        <f>B86*B81</f>
        <v>163.74323453861365</v>
      </c>
      <c r="E86" s="25">
        <f>C86-D86</f>
        <v>3362.2840767682478</v>
      </c>
      <c r="F86" s="16">
        <f>B86-E86</f>
        <v>0</v>
      </c>
    </row>
    <row r="89" spans="1:6" x14ac:dyDescent="0.25">
      <c r="A89" s="12" t="s">
        <v>162</v>
      </c>
      <c r="B89" s="16">
        <f>'Flujo de caja 50%'!L24</f>
        <v>651.29395058425916</v>
      </c>
      <c r="C89" s="60"/>
      <c r="D89" s="60"/>
      <c r="E89" s="60"/>
      <c r="F89" s="59"/>
    </row>
    <row r="90" spans="1:6" x14ac:dyDescent="0.25">
      <c r="A90" s="12" t="s">
        <v>164</v>
      </c>
      <c r="B90" s="47">
        <f>IF(B89&gt;2000,(0.0487),(0.0509))</f>
        <v>5.0900000000000001E-2</v>
      </c>
      <c r="C90" s="60"/>
      <c r="D90" s="60"/>
      <c r="E90" s="60"/>
      <c r="F90" s="59"/>
    </row>
    <row r="91" spans="1:6" x14ac:dyDescent="0.25">
      <c r="A91" s="12" t="s">
        <v>167</v>
      </c>
      <c r="B91" s="15">
        <v>1</v>
      </c>
      <c r="C91" s="9"/>
      <c r="D91" s="9"/>
      <c r="E91" s="9"/>
      <c r="F91" s="3"/>
    </row>
    <row r="92" spans="1:6" x14ac:dyDescent="0.25">
      <c r="A92" s="12" t="s">
        <v>168</v>
      </c>
      <c r="B92" s="25">
        <f>PMT(B90,B91,-B89)</f>
        <v>684.44481266899788</v>
      </c>
      <c r="C92" s="9"/>
      <c r="D92" s="9"/>
      <c r="E92" s="9"/>
      <c r="F92" s="3"/>
    </row>
    <row r="93" spans="1:6" x14ac:dyDescent="0.25">
      <c r="B93" s="3"/>
      <c r="C93" s="9"/>
      <c r="D93" s="9"/>
      <c r="E93" s="9"/>
      <c r="F93" s="3"/>
    </row>
    <row r="94" spans="1:6" x14ac:dyDescent="0.25">
      <c r="A94" s="159" t="s">
        <v>169</v>
      </c>
      <c r="B94" s="159" t="s">
        <v>170</v>
      </c>
      <c r="C94" s="159" t="s">
        <v>168</v>
      </c>
      <c r="D94" s="159" t="s">
        <v>165</v>
      </c>
      <c r="E94" s="159" t="s">
        <v>166</v>
      </c>
      <c r="F94" s="159" t="s">
        <v>171</v>
      </c>
    </row>
    <row r="95" spans="1:6" x14ac:dyDescent="0.25">
      <c r="A95" s="46">
        <v>10</v>
      </c>
      <c r="B95" s="16">
        <f>B89</f>
        <v>651.29395058425916</v>
      </c>
      <c r="C95" s="25">
        <f>B92</f>
        <v>684.44481266899788</v>
      </c>
      <c r="D95" s="25">
        <f>B95*B90</f>
        <v>33.15086208473879</v>
      </c>
      <c r="E95" s="25">
        <f>C95-D95</f>
        <v>651.29395058425905</v>
      </c>
      <c r="F95" s="16">
        <f>B95-E95</f>
        <v>0</v>
      </c>
    </row>
    <row r="98" spans="1:6" x14ac:dyDescent="0.25">
      <c r="A98" s="12" t="s">
        <v>162</v>
      </c>
      <c r="B98" s="16">
        <f>'Flujo de caja 50%'!M24</f>
        <v>0</v>
      </c>
      <c r="C98" s="60"/>
      <c r="D98" s="60"/>
      <c r="E98" s="60"/>
      <c r="F98" s="59"/>
    </row>
    <row r="99" spans="1:6" x14ac:dyDescent="0.25">
      <c r="A99" s="12" t="s">
        <v>164</v>
      </c>
      <c r="B99" s="47">
        <f>IF(B98&gt;2000,(0.0487),(0.0509))</f>
        <v>5.0900000000000001E-2</v>
      </c>
      <c r="C99" s="60"/>
      <c r="D99" s="60"/>
      <c r="E99" s="60"/>
      <c r="F99" s="59"/>
    </row>
    <row r="100" spans="1:6" x14ac:dyDescent="0.25">
      <c r="A100" s="12" t="s">
        <v>167</v>
      </c>
      <c r="B100" s="15">
        <v>1</v>
      </c>
      <c r="C100" s="9"/>
      <c r="D100" s="9"/>
      <c r="E100" s="9"/>
      <c r="F100" s="3"/>
    </row>
    <row r="101" spans="1:6" x14ac:dyDescent="0.25">
      <c r="A101" s="12" t="s">
        <v>168</v>
      </c>
      <c r="B101" s="25">
        <f>PMT(B99,B100,-B98)</f>
        <v>0</v>
      </c>
      <c r="C101" s="9"/>
      <c r="D101" s="9"/>
      <c r="E101" s="9"/>
      <c r="F101" s="3"/>
    </row>
    <row r="102" spans="1:6" x14ac:dyDescent="0.25">
      <c r="B102" s="3"/>
      <c r="C102" s="9"/>
      <c r="D102" s="9"/>
      <c r="E102" s="9"/>
      <c r="F102" s="3"/>
    </row>
    <row r="103" spans="1:6" x14ac:dyDescent="0.25">
      <c r="A103" s="159" t="s">
        <v>169</v>
      </c>
      <c r="B103" s="159" t="s">
        <v>170</v>
      </c>
      <c r="C103" s="159" t="s">
        <v>168</v>
      </c>
      <c r="D103" s="159" t="s">
        <v>165</v>
      </c>
      <c r="E103" s="159" t="s">
        <v>166</v>
      </c>
      <c r="F103" s="159" t="s">
        <v>171</v>
      </c>
    </row>
    <row r="104" spans="1:6" x14ac:dyDescent="0.25">
      <c r="A104" s="46">
        <v>11</v>
      </c>
      <c r="B104" s="16">
        <f>B98</f>
        <v>0</v>
      </c>
      <c r="C104" s="25">
        <f>B101</f>
        <v>0</v>
      </c>
      <c r="D104" s="25">
        <f>B104*B99</f>
        <v>0</v>
      </c>
      <c r="E104" s="25">
        <f>C104-D104</f>
        <v>0</v>
      </c>
      <c r="F104" s="16">
        <f>B104-E104</f>
        <v>0</v>
      </c>
    </row>
    <row r="107" spans="1:6" x14ac:dyDescent="0.25">
      <c r="A107" s="12" t="s">
        <v>162</v>
      </c>
      <c r="B107" s="16">
        <f>'Flujo de caja 50%'!N24</f>
        <v>0</v>
      </c>
      <c r="C107" s="60"/>
      <c r="D107" s="60"/>
      <c r="E107" s="60"/>
      <c r="F107" s="59"/>
    </row>
    <row r="108" spans="1:6" x14ac:dyDescent="0.25">
      <c r="A108" s="12" t="s">
        <v>164</v>
      </c>
      <c r="B108" s="47">
        <f>IF(B107&gt;2000,(0.0487),(0.0509))</f>
        <v>5.0900000000000001E-2</v>
      </c>
      <c r="C108" s="60"/>
      <c r="D108" s="60"/>
      <c r="E108" s="60"/>
      <c r="F108" s="59"/>
    </row>
    <row r="109" spans="1:6" x14ac:dyDescent="0.25">
      <c r="A109" s="12" t="s">
        <v>167</v>
      </c>
      <c r="B109" s="15">
        <v>1</v>
      </c>
      <c r="C109" s="9"/>
      <c r="D109" s="9"/>
      <c r="E109" s="9"/>
      <c r="F109" s="3"/>
    </row>
    <row r="110" spans="1:6" x14ac:dyDescent="0.25">
      <c r="A110" s="12" t="s">
        <v>168</v>
      </c>
      <c r="B110" s="25">
        <f>PMT(B108,B109,-B107)</f>
        <v>0</v>
      </c>
      <c r="C110" s="9"/>
      <c r="D110" s="9"/>
      <c r="E110" s="9"/>
      <c r="F110" s="3"/>
    </row>
    <row r="111" spans="1:6" x14ac:dyDescent="0.25">
      <c r="B111" s="3"/>
      <c r="C111" s="9"/>
      <c r="D111" s="9"/>
      <c r="E111" s="9"/>
      <c r="F111" s="3"/>
    </row>
    <row r="112" spans="1:6" x14ac:dyDescent="0.25">
      <c r="A112" s="159" t="s">
        <v>169</v>
      </c>
      <c r="B112" s="159" t="s">
        <v>170</v>
      </c>
      <c r="C112" s="159" t="s">
        <v>168</v>
      </c>
      <c r="D112" s="159" t="s">
        <v>165</v>
      </c>
      <c r="E112" s="159" t="s">
        <v>166</v>
      </c>
      <c r="F112" s="159" t="s">
        <v>171</v>
      </c>
    </row>
    <row r="113" spans="1:6" x14ac:dyDescent="0.25">
      <c r="A113" s="46">
        <v>12</v>
      </c>
      <c r="B113" s="16">
        <f>B107</f>
        <v>0</v>
      </c>
      <c r="C113" s="25">
        <f>B110</f>
        <v>0</v>
      </c>
      <c r="D113" s="25">
        <f>B113*B108</f>
        <v>0</v>
      </c>
      <c r="E113" s="25">
        <f>C113-D113</f>
        <v>0</v>
      </c>
      <c r="F113" s="16">
        <f>B113-E113</f>
        <v>0</v>
      </c>
    </row>
    <row r="116" spans="1:6" x14ac:dyDescent="0.25">
      <c r="A116" s="12" t="s">
        <v>162</v>
      </c>
      <c r="B116" s="16">
        <f>'Flujo de caja 50%'!O24</f>
        <v>0</v>
      </c>
      <c r="C116" s="60"/>
      <c r="D116" s="60"/>
      <c r="E116" s="60"/>
      <c r="F116" s="59"/>
    </row>
    <row r="117" spans="1:6" x14ac:dyDescent="0.25">
      <c r="A117" s="12" t="s">
        <v>164</v>
      </c>
      <c r="B117" s="47">
        <f>IF(B116&gt;2000,(0.0487),(0.0509))</f>
        <v>5.0900000000000001E-2</v>
      </c>
      <c r="C117" s="60"/>
      <c r="D117" s="60"/>
      <c r="E117" s="60"/>
      <c r="F117" s="59"/>
    </row>
    <row r="118" spans="1:6" x14ac:dyDescent="0.25">
      <c r="A118" s="12" t="s">
        <v>167</v>
      </c>
      <c r="B118" s="15">
        <v>1</v>
      </c>
      <c r="C118" s="9"/>
      <c r="D118" s="9"/>
      <c r="E118" s="9"/>
      <c r="F118" s="3"/>
    </row>
    <row r="119" spans="1:6" x14ac:dyDescent="0.25">
      <c r="A119" s="12" t="s">
        <v>168</v>
      </c>
      <c r="B119" s="25">
        <f>PMT(B117,B118,-B116)</f>
        <v>0</v>
      </c>
      <c r="C119" s="9"/>
      <c r="D119" s="9"/>
      <c r="E119" s="9"/>
      <c r="F119" s="3"/>
    </row>
    <row r="120" spans="1:6" x14ac:dyDescent="0.25">
      <c r="B120" s="3"/>
      <c r="C120" s="9"/>
      <c r="D120" s="9"/>
      <c r="E120" s="9"/>
      <c r="F120" s="3"/>
    </row>
    <row r="121" spans="1:6" x14ac:dyDescent="0.25">
      <c r="A121" s="159" t="s">
        <v>169</v>
      </c>
      <c r="B121" s="159" t="s">
        <v>170</v>
      </c>
      <c r="C121" s="159" t="s">
        <v>168</v>
      </c>
      <c r="D121" s="159" t="s">
        <v>165</v>
      </c>
      <c r="E121" s="159" t="s">
        <v>166</v>
      </c>
      <c r="F121" s="159" t="s">
        <v>171</v>
      </c>
    </row>
    <row r="122" spans="1:6" x14ac:dyDescent="0.25">
      <c r="A122" s="46">
        <v>13</v>
      </c>
      <c r="B122" s="16">
        <f>B116</f>
        <v>0</v>
      </c>
      <c r="C122" s="25">
        <f>B119</f>
        <v>0</v>
      </c>
      <c r="D122" s="25">
        <f>B122*B117</f>
        <v>0</v>
      </c>
      <c r="E122" s="25">
        <f>C122-D122</f>
        <v>0</v>
      </c>
      <c r="F122" s="16">
        <f>B122-E122</f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9"/>
  <sheetViews>
    <sheetView workbookViewId="0">
      <pane xSplit="3" topLeftCell="F1" activePane="topRight" state="frozen"/>
      <selection pane="topRight" activeCell="J16" sqref="J16"/>
    </sheetView>
  </sheetViews>
  <sheetFormatPr baseColWidth="10" defaultColWidth="11.42578125" defaultRowHeight="15" x14ac:dyDescent="0.25"/>
  <cols>
    <col min="1" max="1" width="20.28515625" bestFit="1" customWidth="1"/>
    <col min="2" max="2" width="7.7109375" customWidth="1"/>
    <col min="6" max="6" width="15" customWidth="1"/>
  </cols>
  <sheetData>
    <row r="3" spans="1:13" ht="30" x14ac:dyDescent="0.25">
      <c r="A3" t="s">
        <v>174</v>
      </c>
      <c r="B3">
        <v>325</v>
      </c>
      <c r="C3" t="s">
        <v>175</v>
      </c>
      <c r="F3" s="66" t="s">
        <v>176</v>
      </c>
      <c r="G3" s="56" t="s">
        <v>135</v>
      </c>
      <c r="H3" s="56" t="s">
        <v>139</v>
      </c>
      <c r="I3" s="56" t="s">
        <v>140</v>
      </c>
      <c r="K3" s="56" t="s">
        <v>177</v>
      </c>
      <c r="L3" s="106" t="s">
        <v>178</v>
      </c>
      <c r="M3" s="106" t="s">
        <v>179</v>
      </c>
    </row>
    <row r="4" spans="1:13" x14ac:dyDescent="0.25">
      <c r="A4" t="s">
        <v>180</v>
      </c>
      <c r="B4">
        <v>37.6</v>
      </c>
      <c r="C4" t="s">
        <v>181</v>
      </c>
      <c r="F4" s="42">
        <v>0</v>
      </c>
      <c r="G4" s="25">
        <f>'Flujo de Caja Puro'!C29</f>
        <v>-8161.0234619080511</v>
      </c>
      <c r="H4" s="42">
        <f>'Flujo de Caja Puro'!C30</f>
        <v>6.2834841207137337E-2</v>
      </c>
      <c r="I4" s="100" t="s">
        <v>142</v>
      </c>
      <c r="K4" s="25">
        <f>(2.67+0.56)/2</f>
        <v>1.615</v>
      </c>
      <c r="L4" s="25">
        <v>0.89500000000000002</v>
      </c>
      <c r="M4" s="25">
        <v>9.5500000000000007</v>
      </c>
    </row>
    <row r="5" spans="1:13" x14ac:dyDescent="0.25">
      <c r="A5" t="s">
        <v>182</v>
      </c>
      <c r="B5">
        <v>8.66</v>
      </c>
      <c r="C5" t="s">
        <v>183</v>
      </c>
      <c r="F5" s="42">
        <v>0.25</v>
      </c>
      <c r="G5" s="25">
        <f>'Flujo de caja 25%'!C29</f>
        <v>-6653.180557093523</v>
      </c>
      <c r="H5" s="42">
        <f>'Flujo de caja 25%'!C30</f>
        <v>6.5375129985286273E-2</v>
      </c>
      <c r="I5" s="100" t="s">
        <v>142</v>
      </c>
      <c r="K5" s="107" t="s">
        <v>184</v>
      </c>
      <c r="L5" s="175">
        <f>K4+(L4*(M4-K4))</f>
        <v>8.716825</v>
      </c>
      <c r="M5" s="176"/>
    </row>
    <row r="6" spans="1:13" x14ac:dyDescent="0.25">
      <c r="A6" t="s">
        <v>185</v>
      </c>
      <c r="B6">
        <v>46.7</v>
      </c>
      <c r="C6" t="s">
        <v>181</v>
      </c>
      <c r="F6" s="42">
        <v>0.5</v>
      </c>
      <c r="G6" s="25">
        <f>'Flujo de caja 50%'!C29</f>
        <v>-4398.9043937468859</v>
      </c>
      <c r="H6" s="42">
        <f>'Flujo de caja 50%'!C30</f>
        <v>7.0918817076409013E-2</v>
      </c>
      <c r="I6" s="100" t="s">
        <v>142</v>
      </c>
    </row>
    <row r="7" spans="1:13" x14ac:dyDescent="0.25">
      <c r="A7" t="s">
        <v>186</v>
      </c>
      <c r="B7">
        <v>9.1</v>
      </c>
      <c r="C7" t="s">
        <v>183</v>
      </c>
      <c r="F7" s="42">
        <v>0.75</v>
      </c>
      <c r="G7" s="25">
        <f>'flujo de caja 75%'!C29</f>
        <v>-1415.1330916366842</v>
      </c>
      <c r="H7" s="42">
        <f>'flujo de caja 75%'!C30</f>
        <v>8.5312083933859029E-2</v>
      </c>
      <c r="I7" s="100" t="s">
        <v>142</v>
      </c>
      <c r="K7" t="s">
        <v>187</v>
      </c>
      <c r="L7" s="8">
        <f>(12+L5)/2</f>
        <v>10.3584125</v>
      </c>
    </row>
    <row r="9" spans="1:13" x14ac:dyDescent="0.25">
      <c r="L9">
        <f>3.08+(0.895*(5.73-3.08))</f>
        <v>5.4517500000000005</v>
      </c>
    </row>
  </sheetData>
  <mergeCells count="1">
    <mergeCell ref="L5:M5"/>
  </mergeCells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E13" sqref="E13"/>
    </sheetView>
  </sheetViews>
  <sheetFormatPr baseColWidth="10" defaultColWidth="11.42578125" defaultRowHeight="15" x14ac:dyDescent="0.25"/>
  <cols>
    <col min="1" max="1" width="18.85546875" bestFit="1" customWidth="1"/>
    <col min="6" max="6" width="17.140625" customWidth="1"/>
  </cols>
  <sheetData>
    <row r="1" spans="1:8" ht="45.75" thickBot="1" x14ac:dyDescent="0.3">
      <c r="A1" s="114" t="s">
        <v>188</v>
      </c>
      <c r="B1" s="115" t="s">
        <v>189</v>
      </c>
      <c r="C1" s="116" t="s">
        <v>190</v>
      </c>
      <c r="F1" s="114" t="s">
        <v>188</v>
      </c>
      <c r="G1" s="115" t="s">
        <v>189</v>
      </c>
      <c r="H1" s="116" t="s">
        <v>190</v>
      </c>
    </row>
    <row r="2" spans="1:8" x14ac:dyDescent="0.25">
      <c r="A2" s="113" t="s">
        <v>191</v>
      </c>
      <c r="B2" s="92">
        <v>6150.5</v>
      </c>
      <c r="C2" s="117">
        <v>48.343000000000004</v>
      </c>
      <c r="F2" s="113" t="s">
        <v>191</v>
      </c>
      <c r="G2" s="92">
        <v>4986.07</v>
      </c>
      <c r="H2" s="117">
        <v>40.722000000000001</v>
      </c>
    </row>
    <row r="3" spans="1:8" x14ac:dyDescent="0.25">
      <c r="A3" s="113" t="s">
        <v>192</v>
      </c>
      <c r="B3" s="92">
        <v>6053.75</v>
      </c>
      <c r="C3" s="117">
        <v>47.097000000000001</v>
      </c>
      <c r="F3" s="113" t="s">
        <v>192</v>
      </c>
      <c r="G3" s="92">
        <v>4929.21</v>
      </c>
      <c r="H3" s="117">
        <v>39.805</v>
      </c>
    </row>
    <row r="4" spans="1:8" x14ac:dyDescent="0.25">
      <c r="A4" s="113" t="s">
        <v>193</v>
      </c>
      <c r="B4" s="92">
        <v>6088.25</v>
      </c>
      <c r="C4" s="117">
        <v>47.036999999999999</v>
      </c>
      <c r="F4" s="113" t="s">
        <v>193</v>
      </c>
      <c r="G4" s="92">
        <v>5082.37</v>
      </c>
      <c r="H4" s="117">
        <v>42.970999999999997</v>
      </c>
    </row>
    <row r="5" spans="1:8" x14ac:dyDescent="0.25">
      <c r="A5" s="113" t="s">
        <v>194</v>
      </c>
      <c r="B5" s="92">
        <v>6193.03</v>
      </c>
      <c r="C5" s="117">
        <v>47.896000000000001</v>
      </c>
      <c r="F5" s="113" t="s">
        <v>194</v>
      </c>
      <c r="G5" s="92">
        <v>5091.59</v>
      </c>
      <c r="H5" s="117">
        <v>41.759</v>
      </c>
    </row>
    <row r="6" spans="1:8" x14ac:dyDescent="0.25">
      <c r="A6" s="113" t="s">
        <v>195</v>
      </c>
      <c r="B6" s="92">
        <v>6289.78</v>
      </c>
      <c r="C6" s="117">
        <v>48.057000000000002</v>
      </c>
      <c r="F6" s="113" t="s">
        <v>195</v>
      </c>
      <c r="G6" s="92">
        <v>5075.1899999999996</v>
      </c>
      <c r="H6" s="117">
        <v>41.091999999999999</v>
      </c>
    </row>
    <row r="7" spans="1:8" x14ac:dyDescent="0.25">
      <c r="A7" s="113" t="s">
        <v>196</v>
      </c>
      <c r="B7" s="92">
        <v>6162.83</v>
      </c>
      <c r="C7" s="117">
        <v>46.805999999999997</v>
      </c>
      <c r="F7" s="113" t="s">
        <v>196</v>
      </c>
      <c r="G7" s="92">
        <v>5122.32</v>
      </c>
      <c r="H7" s="117">
        <v>41.215000000000003</v>
      </c>
    </row>
    <row r="8" spans="1:8" x14ac:dyDescent="0.25">
      <c r="A8" s="113" t="s">
        <v>12</v>
      </c>
      <c r="B8" s="92">
        <v>6436.46</v>
      </c>
      <c r="C8" s="117">
        <v>48.792000000000002</v>
      </c>
      <c r="F8" s="113" t="s">
        <v>12</v>
      </c>
      <c r="G8" s="92">
        <v>5133.59</v>
      </c>
      <c r="H8" s="117">
        <v>41.176000000000002</v>
      </c>
    </row>
    <row r="9" spans="1:8" x14ac:dyDescent="0.25">
      <c r="A9" s="113" t="s">
        <v>197</v>
      </c>
      <c r="B9" s="92">
        <v>6357.58</v>
      </c>
      <c r="C9" s="117">
        <v>48.421999999999997</v>
      </c>
      <c r="F9" s="113" t="s">
        <v>197</v>
      </c>
      <c r="G9" s="92">
        <v>5102.34</v>
      </c>
      <c r="H9" s="117">
        <v>41.149000000000001</v>
      </c>
    </row>
    <row r="10" spans="1:8" x14ac:dyDescent="0.25">
      <c r="A10" s="150">
        <v>43922</v>
      </c>
      <c r="F10" s="150">
        <v>43191</v>
      </c>
    </row>
    <row r="16" spans="1:8" x14ac:dyDescent="0.25">
      <c r="A16" s="64"/>
      <c r="B16" s="64"/>
      <c r="C16" s="64"/>
    </row>
    <row r="17" spans="1:3" x14ac:dyDescent="0.25">
      <c r="A17" s="64"/>
      <c r="B17" s="148"/>
      <c r="C17" s="149"/>
    </row>
    <row r="18" spans="1:3" x14ac:dyDescent="0.25">
      <c r="A18" s="64"/>
      <c r="B18" s="148"/>
      <c r="C18" s="149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16" sqref="B16"/>
    </sheetView>
  </sheetViews>
  <sheetFormatPr baseColWidth="10" defaultColWidth="11.42578125" defaultRowHeight="15" x14ac:dyDescent="0.2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15" sqref="I15"/>
    </sheetView>
  </sheetViews>
  <sheetFormatPr baseColWidth="10" defaultColWidth="11.42578125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8"/>
  <sheetViews>
    <sheetView tabSelected="1" zoomScaleNormal="100" workbookViewId="0">
      <pane xSplit="5" ySplit="2" topLeftCell="F12" activePane="bottomRight" state="frozen"/>
      <selection pane="topRight" activeCell="F1" sqref="F1"/>
      <selection pane="bottomLeft" activeCell="A3" sqref="A3"/>
      <selection pane="bottomRight" activeCell="G6" sqref="G6"/>
    </sheetView>
  </sheetViews>
  <sheetFormatPr baseColWidth="10" defaultColWidth="11.42578125" defaultRowHeight="15" x14ac:dyDescent="0.25"/>
  <cols>
    <col min="1" max="1" width="16.7109375" customWidth="1"/>
    <col min="2" max="2" width="13.7109375" customWidth="1"/>
    <col min="3" max="3" width="14.28515625" bestFit="1" customWidth="1"/>
    <col min="4" max="4" width="12.5703125" bestFit="1" customWidth="1"/>
    <col min="5" max="5" width="10.42578125" bestFit="1" customWidth="1"/>
    <col min="7" max="7" width="14.85546875" bestFit="1" customWidth="1"/>
    <col min="8" max="8" width="14" bestFit="1" customWidth="1"/>
    <col min="10" max="10" width="14.140625" customWidth="1"/>
    <col min="11" max="11" width="17.5703125" customWidth="1"/>
    <col min="12" max="12" width="12.28515625" customWidth="1"/>
  </cols>
  <sheetData>
    <row r="1" spans="1:12" ht="30" x14ac:dyDescent="0.25">
      <c r="A1" s="66" t="s">
        <v>13</v>
      </c>
      <c r="B1" s="66" t="s">
        <v>14</v>
      </c>
      <c r="C1" s="66" t="s">
        <v>15</v>
      </c>
      <c r="D1" s="66" t="s">
        <v>16</v>
      </c>
      <c r="E1" s="66" t="s">
        <v>17</v>
      </c>
      <c r="G1" s="22" t="s">
        <v>18</v>
      </c>
      <c r="H1" s="22" t="s">
        <v>19</v>
      </c>
      <c r="J1" s="66" t="s">
        <v>20</v>
      </c>
      <c r="K1" s="66" t="s">
        <v>21</v>
      </c>
      <c r="L1" s="66" t="s">
        <v>22</v>
      </c>
    </row>
    <row r="2" spans="1:12" x14ac:dyDescent="0.25">
      <c r="A2" s="13" t="s">
        <v>23</v>
      </c>
      <c r="B2" s="81">
        <v>2</v>
      </c>
      <c r="C2" s="51">
        <v>50990</v>
      </c>
      <c r="D2" s="52">
        <f>C2*B2</f>
        <v>101980</v>
      </c>
      <c r="E2" s="53">
        <f>D2/$H$2</f>
        <v>3.5536357512901011</v>
      </c>
      <c r="G2" s="23">
        <v>821.4</v>
      </c>
      <c r="H2" s="23">
        <v>28697.37</v>
      </c>
      <c r="J2" s="82">
        <f>K2/G2</f>
        <v>867223.59170378651</v>
      </c>
      <c r="K2" s="82">
        <f>L2*H2</f>
        <v>712337458.22549021</v>
      </c>
      <c r="L2" s="83">
        <f>-'Flujo de Caja Puro'!C22</f>
        <v>24822.395161141605</v>
      </c>
    </row>
    <row r="3" spans="1:12" ht="30" x14ac:dyDescent="0.25">
      <c r="A3" s="13" t="s">
        <v>24</v>
      </c>
      <c r="B3" s="81">
        <v>2</v>
      </c>
      <c r="C3" s="51">
        <v>106990</v>
      </c>
      <c r="D3" s="52">
        <f>C3*B3</f>
        <v>213980</v>
      </c>
      <c r="E3" s="53">
        <f>D3/$H$2</f>
        <v>7.4564324187199036</v>
      </c>
      <c r="G3" s="7"/>
      <c r="H3" s="7"/>
    </row>
    <row r="4" spans="1:12" ht="30" x14ac:dyDescent="0.25">
      <c r="A4" s="13" t="s">
        <v>25</v>
      </c>
      <c r="B4" s="81">
        <v>1</v>
      </c>
      <c r="C4" s="51">
        <v>84000</v>
      </c>
      <c r="D4" s="52">
        <f>C4*B4</f>
        <v>84000</v>
      </c>
      <c r="E4" s="53">
        <f>D4/$H$2</f>
        <v>2.9270975005723523</v>
      </c>
      <c r="H4" s="119"/>
    </row>
    <row r="5" spans="1:12" ht="30" x14ac:dyDescent="0.25">
      <c r="A5" s="13" t="s">
        <v>26</v>
      </c>
      <c r="B5" s="81">
        <v>2</v>
      </c>
      <c r="C5" s="51">
        <v>199990</v>
      </c>
      <c r="D5" s="52">
        <f>C5*B5</f>
        <v>399980</v>
      </c>
      <c r="E5" s="53">
        <f>D5/$H$2</f>
        <v>13.937862598558684</v>
      </c>
    </row>
    <row r="6" spans="1:12" ht="45" x14ac:dyDescent="0.25">
      <c r="A6" s="13" t="s">
        <v>27</v>
      </c>
      <c r="B6" s="81">
        <v>1</v>
      </c>
      <c r="C6" s="51">
        <v>65995</v>
      </c>
      <c r="D6" s="52">
        <f>C6*B6</f>
        <v>65995</v>
      </c>
      <c r="E6" s="53">
        <f>D6/$H$2</f>
        <v>2.2996880898841949</v>
      </c>
    </row>
    <row r="7" spans="1:12" x14ac:dyDescent="0.25">
      <c r="A7" s="164" t="s">
        <v>28</v>
      </c>
      <c r="B7" s="165"/>
      <c r="C7" s="54">
        <f>SUM(C2:C6)</f>
        <v>507965</v>
      </c>
      <c r="D7" s="54">
        <f>SUM(D2:D6)</f>
        <v>865935</v>
      </c>
      <c r="E7" s="55">
        <f>SUM(E2:E6)</f>
        <v>30.174716359025236</v>
      </c>
      <c r="I7" t="s">
        <v>29</v>
      </c>
    </row>
    <row r="8" spans="1:12" x14ac:dyDescent="0.25">
      <c r="E8" s="8"/>
      <c r="I8" s="8">
        <f>C11/H2</f>
        <v>4.0995763313338269</v>
      </c>
    </row>
    <row r="9" spans="1:12" x14ac:dyDescent="0.25">
      <c r="A9" s="160" t="s">
        <v>30</v>
      </c>
      <c r="B9" s="160"/>
    </row>
    <row r="10" spans="1:12" x14ac:dyDescent="0.25">
      <c r="A10" s="158" t="s">
        <v>31</v>
      </c>
      <c r="B10" s="158" t="s">
        <v>32</v>
      </c>
      <c r="C10" s="56" t="s">
        <v>33</v>
      </c>
      <c r="D10" s="56" t="s">
        <v>34</v>
      </c>
      <c r="E10" s="56" t="s">
        <v>17</v>
      </c>
      <c r="F10" s="56" t="s">
        <v>35</v>
      </c>
      <c r="G10" s="154" t="s">
        <v>36</v>
      </c>
    </row>
    <row r="11" spans="1:12" x14ac:dyDescent="0.25">
      <c r="A11" s="15" t="s">
        <v>37</v>
      </c>
      <c r="B11" s="44">
        <v>20</v>
      </c>
      <c r="C11" s="21">
        <f>140000/1.19</f>
        <v>117647.05882352941</v>
      </c>
      <c r="D11" s="21">
        <f>C11*B11</f>
        <v>2352941.1764705884</v>
      </c>
      <c r="E11" s="16">
        <f>D11/$H$2</f>
        <v>81.991526626676546</v>
      </c>
      <c r="F11" s="25">
        <f>E11*$G$11</f>
        <v>13118.644260268247</v>
      </c>
      <c r="G11" s="72">
        <v>160</v>
      </c>
      <c r="J11" s="6"/>
      <c r="K11" s="6"/>
      <c r="L11" s="9"/>
    </row>
    <row r="12" spans="1:12" x14ac:dyDescent="0.25">
      <c r="A12" s="15" t="s">
        <v>38</v>
      </c>
      <c r="B12" s="44">
        <v>1</v>
      </c>
      <c r="C12" s="21">
        <v>500000</v>
      </c>
      <c r="D12" s="21">
        <f>C12*B12</f>
        <v>500000</v>
      </c>
      <c r="E12" s="16">
        <f>D12/$H$2</f>
        <v>17.423199408168763</v>
      </c>
      <c r="F12" s="25">
        <f>E12*$G$11</f>
        <v>2787.7119053070019</v>
      </c>
    </row>
    <row r="13" spans="1:12" x14ac:dyDescent="0.25">
      <c r="A13" s="15" t="s">
        <v>39</v>
      </c>
      <c r="B13" s="44">
        <v>30</v>
      </c>
      <c r="C13" s="21">
        <v>1000</v>
      </c>
      <c r="D13" s="21">
        <f>C13*B13</f>
        <v>30000</v>
      </c>
      <c r="E13" s="16">
        <f>D13/$H$2</f>
        <v>1.0453919644901257</v>
      </c>
      <c r="F13" s="25">
        <f>E13*$G$11</f>
        <v>167.26271431842011</v>
      </c>
    </row>
    <row r="14" spans="1:12" x14ac:dyDescent="0.25">
      <c r="A14" s="15" t="s">
        <v>40</v>
      </c>
      <c r="B14" s="44">
        <v>20</v>
      </c>
      <c r="C14" s="21">
        <v>3000</v>
      </c>
      <c r="D14" s="21">
        <f>C14*B14</f>
        <v>60000</v>
      </c>
      <c r="E14" s="16">
        <f>D14/$H$2</f>
        <v>2.0907839289802514</v>
      </c>
      <c r="F14" s="25">
        <f>E14*$G$11</f>
        <v>334.52542863684022</v>
      </c>
    </row>
    <row r="15" spans="1:12" x14ac:dyDescent="0.25">
      <c r="A15" s="17" t="s">
        <v>28</v>
      </c>
      <c r="B15" s="17"/>
      <c r="C15" s="19">
        <f>SUM(C11:C14)</f>
        <v>621647.0588235294</v>
      </c>
      <c r="D15" s="19">
        <f>SUM(D11:D14)</f>
        <v>2942941.1764705884</v>
      </c>
      <c r="E15" s="20">
        <f>SUM(E11:E14)</f>
        <v>102.55090192831568</v>
      </c>
      <c r="F15" s="26">
        <f>SUM(F11:F14)</f>
        <v>16408.144308530511</v>
      </c>
      <c r="I15" s="101" t="s">
        <v>41</v>
      </c>
      <c r="J15" s="101" t="s">
        <v>42</v>
      </c>
    </row>
    <row r="16" spans="1:12" x14ac:dyDescent="0.25">
      <c r="A16" s="15" t="s">
        <v>43</v>
      </c>
      <c r="B16" s="41">
        <v>23</v>
      </c>
      <c r="C16" s="69">
        <v>2860000</v>
      </c>
      <c r="D16" s="69">
        <f>C16*B16</f>
        <v>65780000</v>
      </c>
      <c r="E16" s="26">
        <f>D16/H2</f>
        <v>2292.1961141386823</v>
      </c>
      <c r="F16" s="9"/>
      <c r="I16" s="14">
        <f>C16/H2</f>
        <v>99.660700614725329</v>
      </c>
      <c r="J16" s="102">
        <f>C11/H2</f>
        <v>4.0995763313338269</v>
      </c>
    </row>
    <row r="17" spans="1:28" x14ac:dyDescent="0.25">
      <c r="A17" s="132" t="s">
        <v>44</v>
      </c>
      <c r="B17" s="132">
        <v>1</v>
      </c>
      <c r="C17" s="133">
        <v>2000000</v>
      </c>
      <c r="D17" s="69">
        <f>C17*B17</f>
        <v>2000000</v>
      </c>
      <c r="E17" s="26">
        <f>D17/H2</f>
        <v>69.692797632675052</v>
      </c>
      <c r="F17" s="9"/>
      <c r="AB17">
        <f>Inversiones!C21*2+Inversiones!F12/2+Inversiones!E17/2</f>
        <v>2822.5583041233394</v>
      </c>
    </row>
    <row r="18" spans="1:28" x14ac:dyDescent="0.25">
      <c r="A18" s="163" t="s">
        <v>45</v>
      </c>
      <c r="B18" s="163"/>
      <c r="C18" s="26">
        <f>F15+E16+E17</f>
        <v>18770.033220301866</v>
      </c>
      <c r="F18" s="9"/>
    </row>
    <row r="19" spans="1:28" x14ac:dyDescent="0.25">
      <c r="G19" s="6"/>
      <c r="H19" s="9"/>
      <c r="J19" s="9"/>
      <c r="L19" s="9"/>
      <c r="N19" s="9"/>
      <c r="Q19" s="9"/>
    </row>
    <row r="20" spans="1:28" x14ac:dyDescent="0.25">
      <c r="A20" s="12" t="s">
        <v>46</v>
      </c>
      <c r="B20" s="12" t="s">
        <v>47</v>
      </c>
      <c r="C20" s="12" t="s">
        <v>48</v>
      </c>
      <c r="G20" s="9"/>
      <c r="H20" s="7"/>
    </row>
    <row r="21" spans="1:28" x14ac:dyDescent="0.25">
      <c r="A21" s="15" t="s">
        <v>49</v>
      </c>
      <c r="B21" s="27">
        <v>20000000</v>
      </c>
      <c r="C21" s="16">
        <f>B21/$H$2</f>
        <v>696.92797632675058</v>
      </c>
      <c r="G21" s="9"/>
    </row>
    <row r="22" spans="1:28" x14ac:dyDescent="0.25">
      <c r="A22" s="15" t="s">
        <v>50</v>
      </c>
      <c r="B22" s="27">
        <v>14390000</v>
      </c>
      <c r="C22" s="16">
        <f>B22/$H$2</f>
        <v>501.439678967097</v>
      </c>
      <c r="G22" s="9"/>
    </row>
    <row r="23" spans="1:28" x14ac:dyDescent="0.25">
      <c r="A23" s="17" t="s">
        <v>28</v>
      </c>
      <c r="B23" s="28">
        <f>SUM(B21:B22)</f>
        <v>34390000</v>
      </c>
      <c r="C23" s="18">
        <f>SUM(C21:C22)</f>
        <v>1198.3676552938475</v>
      </c>
      <c r="G23" s="9"/>
    </row>
    <row r="24" spans="1:28" x14ac:dyDescent="0.25">
      <c r="G24" s="9"/>
    </row>
    <row r="25" spans="1:28" x14ac:dyDescent="0.25">
      <c r="A25" s="161" t="s">
        <v>51</v>
      </c>
      <c r="B25" s="162"/>
      <c r="C25" s="70"/>
      <c r="D25" s="70"/>
      <c r="G25" s="9"/>
    </row>
    <row r="26" spans="1:28" x14ac:dyDescent="0.25">
      <c r="A26" s="15" t="s">
        <v>52</v>
      </c>
      <c r="B26" s="15">
        <v>0</v>
      </c>
      <c r="C26" s="65"/>
      <c r="D26" s="65"/>
      <c r="G26" s="9"/>
    </row>
    <row r="27" spans="1:28" x14ac:dyDescent="0.25">
      <c r="A27" s="17" t="s">
        <v>35</v>
      </c>
      <c r="B27" s="26">
        <f>E7+C18+C23</f>
        <v>19998.575591954741</v>
      </c>
      <c r="C27" s="68"/>
      <c r="D27" s="68"/>
      <c r="G27" s="9"/>
    </row>
    <row r="28" spans="1:28" x14ac:dyDescent="0.25">
      <c r="C28" s="71"/>
      <c r="D28" s="71"/>
      <c r="G28" s="9"/>
    </row>
    <row r="29" spans="1:28" x14ac:dyDescent="0.25">
      <c r="G29" s="9"/>
    </row>
    <row r="30" spans="1:28" x14ac:dyDescent="0.25">
      <c r="G30" s="9"/>
    </row>
    <row r="31" spans="1:28" x14ac:dyDescent="0.25">
      <c r="G31" s="9"/>
    </row>
    <row r="32" spans="1:28" x14ac:dyDescent="0.25">
      <c r="G32" s="9"/>
    </row>
    <row r="33" spans="7:7" x14ac:dyDescent="0.25">
      <c r="G33" s="9"/>
    </row>
    <row r="34" spans="7:7" x14ac:dyDescent="0.25">
      <c r="G34" s="9"/>
    </row>
    <row r="35" spans="7:7" x14ac:dyDescent="0.25">
      <c r="G35" s="9"/>
    </row>
    <row r="36" spans="7:7" x14ac:dyDescent="0.25">
      <c r="G36" s="9"/>
    </row>
    <row r="37" spans="7:7" x14ac:dyDescent="0.25">
      <c r="G37" s="9"/>
    </row>
    <row r="38" spans="7:7" x14ac:dyDescent="0.25">
      <c r="G38" s="9"/>
    </row>
  </sheetData>
  <mergeCells count="4">
    <mergeCell ref="A9:B9"/>
    <mergeCell ref="A25:B25"/>
    <mergeCell ref="A18:B18"/>
    <mergeCell ref="A7:B7"/>
  </mergeCells>
  <pageMargins left="0.7" right="0.7" top="0.75" bottom="0.75" header="0.3" footer="0.3"/>
  <ignoredErrors>
    <ignoredError sqref="D1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>
      <selection activeCell="K7" sqref="K7"/>
    </sheetView>
  </sheetViews>
  <sheetFormatPr baseColWidth="10" defaultColWidth="11.42578125" defaultRowHeight="15" x14ac:dyDescent="0.25"/>
  <cols>
    <col min="1" max="1" width="30.28515625" customWidth="1"/>
    <col min="2" max="2" width="9" bestFit="1" customWidth="1"/>
    <col min="3" max="3" width="7.5703125" bestFit="1" customWidth="1"/>
    <col min="4" max="6" width="8" bestFit="1" customWidth="1"/>
  </cols>
  <sheetData>
    <row r="1" spans="1:10" x14ac:dyDescent="0.25">
      <c r="A1" s="12" t="s">
        <v>53</v>
      </c>
      <c r="G1" s="71"/>
      <c r="H1" s="71"/>
    </row>
    <row r="2" spans="1:10" x14ac:dyDescent="0.25">
      <c r="A2" s="159" t="s">
        <v>54</v>
      </c>
      <c r="B2" s="159" t="s">
        <v>48</v>
      </c>
      <c r="C2" s="159" t="s">
        <v>55</v>
      </c>
      <c r="D2" s="159">
        <v>1</v>
      </c>
      <c r="E2" s="159">
        <v>2</v>
      </c>
      <c r="F2" s="159">
        <v>3</v>
      </c>
      <c r="G2" s="76"/>
      <c r="H2" s="67"/>
    </row>
    <row r="3" spans="1:10" x14ac:dyDescent="0.25">
      <c r="A3" s="13" t="s">
        <v>23</v>
      </c>
      <c r="B3" s="33">
        <f>Inversiones!E2</f>
        <v>3.5536357512901011</v>
      </c>
      <c r="C3" s="34">
        <v>2</v>
      </c>
      <c r="D3" s="80">
        <f t="shared" ref="D3:D13" si="0">B3/C3</f>
        <v>1.7768178756450506</v>
      </c>
      <c r="E3" s="80">
        <f>B3-D3</f>
        <v>1.7768178756450506</v>
      </c>
      <c r="F3" s="34"/>
      <c r="G3" s="77"/>
      <c r="H3" s="73">
        <f>D3+E3+F3</f>
        <v>3.5536357512901011</v>
      </c>
    </row>
    <row r="4" spans="1:10" x14ac:dyDescent="0.25">
      <c r="A4" s="13" t="s">
        <v>24</v>
      </c>
      <c r="B4" s="33">
        <f>Inversiones!E3</f>
        <v>7.4564324187199036</v>
      </c>
      <c r="C4" s="34">
        <v>2</v>
      </c>
      <c r="D4" s="80">
        <f t="shared" si="0"/>
        <v>3.7282162093599518</v>
      </c>
      <c r="E4" s="80">
        <f>B4-D4</f>
        <v>3.7282162093599518</v>
      </c>
      <c r="F4" s="34"/>
      <c r="G4" s="75"/>
      <c r="H4" s="49">
        <f t="shared" ref="H4:H14" si="1">D4+E4+F4</f>
        <v>7.4564324187199036</v>
      </c>
    </row>
    <row r="5" spans="1:10" x14ac:dyDescent="0.25">
      <c r="A5" s="13" t="s">
        <v>25</v>
      </c>
      <c r="B5" s="33">
        <f>Inversiones!E4</f>
        <v>2.9270975005723523</v>
      </c>
      <c r="C5" s="34">
        <v>2</v>
      </c>
      <c r="D5" s="33">
        <f t="shared" si="0"/>
        <v>1.4635487502861761</v>
      </c>
      <c r="E5" s="33">
        <f>B5-D5</f>
        <v>1.4635487502861761</v>
      </c>
      <c r="F5" s="34"/>
      <c r="G5" s="75"/>
      <c r="H5" s="49">
        <f t="shared" si="1"/>
        <v>2.9270975005723523</v>
      </c>
    </row>
    <row r="6" spans="1:10" x14ac:dyDescent="0.25">
      <c r="A6" s="13" t="s">
        <v>26</v>
      </c>
      <c r="B6" s="33">
        <f>Inversiones!E5</f>
        <v>13.937862598558684</v>
      </c>
      <c r="C6" s="34">
        <v>2</v>
      </c>
      <c r="D6" s="33">
        <f t="shared" si="0"/>
        <v>6.9689312992793422</v>
      </c>
      <c r="E6" s="33">
        <f>B6-D6</f>
        <v>6.9689312992793422</v>
      </c>
      <c r="F6" s="34"/>
      <c r="G6" s="75"/>
      <c r="H6" s="49">
        <f t="shared" si="1"/>
        <v>13.937862598558684</v>
      </c>
    </row>
    <row r="7" spans="1:10" x14ac:dyDescent="0.25">
      <c r="A7" s="13" t="s">
        <v>56</v>
      </c>
      <c r="B7" s="33">
        <f>Inversiones!E6</f>
        <v>2.2996880898841949</v>
      </c>
      <c r="C7" s="34">
        <v>2</v>
      </c>
      <c r="D7" s="33">
        <f t="shared" si="0"/>
        <v>1.1498440449420975</v>
      </c>
      <c r="E7" s="33">
        <f>B7-D7</f>
        <v>1.1498440449420975</v>
      </c>
      <c r="F7" s="34"/>
      <c r="G7" s="75"/>
      <c r="H7" s="49">
        <f t="shared" si="1"/>
        <v>2.2996880898841949</v>
      </c>
    </row>
    <row r="8" spans="1:10" x14ac:dyDescent="0.25">
      <c r="A8" s="15" t="s">
        <v>37</v>
      </c>
      <c r="B8" s="35">
        <f>Inversiones!F11</f>
        <v>13118.644260268247</v>
      </c>
      <c r="C8" s="34">
        <v>3</v>
      </c>
      <c r="D8" s="35">
        <f t="shared" si="0"/>
        <v>4372.8814200894158</v>
      </c>
      <c r="E8" s="35">
        <f>D8</f>
        <v>4372.8814200894158</v>
      </c>
      <c r="F8" s="35">
        <f>B8-D8-E8</f>
        <v>4372.8814200894158</v>
      </c>
      <c r="G8" s="74"/>
      <c r="H8" s="49">
        <f t="shared" si="1"/>
        <v>13118.644260268247</v>
      </c>
    </row>
    <row r="9" spans="1:10" x14ac:dyDescent="0.25">
      <c r="A9" s="15" t="s">
        <v>43</v>
      </c>
      <c r="B9" s="35">
        <f>Inversiones!E16</f>
        <v>2292.1961141386823</v>
      </c>
      <c r="C9" s="34">
        <v>3</v>
      </c>
      <c r="D9" s="35">
        <f t="shared" si="0"/>
        <v>764.06537137956082</v>
      </c>
      <c r="E9" s="35">
        <f>D9</f>
        <v>764.06537137956082</v>
      </c>
      <c r="F9" s="35">
        <f>B9-D9-E9</f>
        <v>764.06537137956059</v>
      </c>
      <c r="G9" s="74"/>
      <c r="H9" s="49">
        <f t="shared" si="1"/>
        <v>2292.1961141386823</v>
      </c>
    </row>
    <row r="10" spans="1:10" x14ac:dyDescent="0.25">
      <c r="A10" s="15" t="s">
        <v>38</v>
      </c>
      <c r="B10" s="35">
        <f>Inversiones!F12</f>
        <v>2787.7119053070019</v>
      </c>
      <c r="C10" s="34">
        <v>3</v>
      </c>
      <c r="D10" s="35">
        <f t="shared" si="0"/>
        <v>929.23730176900062</v>
      </c>
      <c r="E10" s="35">
        <f>D10</f>
        <v>929.23730176900062</v>
      </c>
      <c r="F10" s="35">
        <f>B10-D10-E10</f>
        <v>929.23730176900062</v>
      </c>
      <c r="G10" s="74"/>
      <c r="H10" s="49">
        <f t="shared" si="1"/>
        <v>2787.7119053070019</v>
      </c>
    </row>
    <row r="11" spans="1:10" x14ac:dyDescent="0.25">
      <c r="A11" s="15" t="s">
        <v>39</v>
      </c>
      <c r="B11" s="35">
        <f>Inversiones!F13</f>
        <v>167.26271431842011</v>
      </c>
      <c r="C11" s="34">
        <v>3</v>
      </c>
      <c r="D11" s="35">
        <f t="shared" si="0"/>
        <v>55.754238106140036</v>
      </c>
      <c r="E11" s="35">
        <f>D11</f>
        <v>55.754238106140036</v>
      </c>
      <c r="F11" s="35">
        <f>B11-D11-E11</f>
        <v>55.754238106140036</v>
      </c>
      <c r="G11" s="74"/>
      <c r="H11" s="49">
        <f t="shared" si="1"/>
        <v>167.26271431842011</v>
      </c>
    </row>
    <row r="12" spans="1:10" x14ac:dyDescent="0.25">
      <c r="A12" s="15" t="s">
        <v>40</v>
      </c>
      <c r="B12" s="35">
        <f>Inversiones!F14</f>
        <v>334.52542863684022</v>
      </c>
      <c r="C12" s="34">
        <v>3</v>
      </c>
      <c r="D12" s="35">
        <f t="shared" si="0"/>
        <v>111.50847621228007</v>
      </c>
      <c r="E12" s="35">
        <f>D12</f>
        <v>111.50847621228007</v>
      </c>
      <c r="F12" s="35">
        <f>B12-D12-E12</f>
        <v>111.50847621228007</v>
      </c>
      <c r="G12" s="78"/>
      <c r="H12" s="49">
        <f t="shared" si="1"/>
        <v>334.52542863684022</v>
      </c>
    </row>
    <row r="13" spans="1:10" x14ac:dyDescent="0.25">
      <c r="A13" s="15" t="s">
        <v>57</v>
      </c>
      <c r="B13" s="35">
        <f>Inversiones!C22</f>
        <v>501.439678967097</v>
      </c>
      <c r="C13" s="34">
        <v>2</v>
      </c>
      <c r="D13" s="35">
        <f t="shared" si="0"/>
        <v>250.7198394835485</v>
      </c>
      <c r="E13" s="35">
        <f>B13-D13</f>
        <v>250.7198394835485</v>
      </c>
      <c r="F13" s="15"/>
      <c r="G13" s="77"/>
      <c r="H13" s="49">
        <f t="shared" si="1"/>
        <v>501.439678967097</v>
      </c>
    </row>
    <row r="14" spans="1:10" x14ac:dyDescent="0.25">
      <c r="A14" s="17" t="s">
        <v>28</v>
      </c>
      <c r="B14" s="36">
        <f>SUM(B3:B13)</f>
        <v>19231.954817995313</v>
      </c>
      <c r="C14" s="36"/>
      <c r="D14" s="36">
        <f>SUM(D3:D13)</f>
        <v>6499.2540052194581</v>
      </c>
      <c r="E14" s="36">
        <f>SUM(E3:E13)</f>
        <v>6499.2540052194581</v>
      </c>
      <c r="F14" s="36">
        <f>SUM(F3:F13)</f>
        <v>6233.4468075563973</v>
      </c>
      <c r="G14" s="79"/>
      <c r="H14" s="49">
        <f t="shared" si="1"/>
        <v>19231.954817995313</v>
      </c>
      <c r="J14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workbookViewId="0">
      <pane ySplit="4" topLeftCell="A5" activePane="bottomLeft" state="frozen"/>
      <selection pane="bottomLeft" activeCell="J14" sqref="J14"/>
    </sheetView>
  </sheetViews>
  <sheetFormatPr baseColWidth="10" defaultColWidth="11.42578125" defaultRowHeight="15" x14ac:dyDescent="0.25"/>
  <cols>
    <col min="1" max="1" width="22.7109375" customWidth="1"/>
    <col min="2" max="2" width="3" bestFit="1" customWidth="1"/>
    <col min="3" max="3" width="15" customWidth="1"/>
    <col min="4" max="4" width="13" bestFit="1" customWidth="1"/>
    <col min="5" max="5" width="13.85546875" bestFit="1" customWidth="1"/>
    <col min="7" max="7" width="21" customWidth="1"/>
    <col min="8" max="8" width="11.7109375" bestFit="1" customWidth="1"/>
  </cols>
  <sheetData>
    <row r="1" spans="1:9" ht="30" x14ac:dyDescent="0.25">
      <c r="A1" s="159" t="s">
        <v>58</v>
      </c>
      <c r="B1" s="159" t="s">
        <v>59</v>
      </c>
      <c r="C1" s="159" t="s">
        <v>60</v>
      </c>
      <c r="D1" s="159" t="s">
        <v>61</v>
      </c>
      <c r="E1" s="29" t="s">
        <v>62</v>
      </c>
      <c r="G1" s="29" t="s">
        <v>19</v>
      </c>
      <c r="H1" s="57" t="s">
        <v>63</v>
      </c>
    </row>
    <row r="2" spans="1:9" x14ac:dyDescent="0.25">
      <c r="A2" s="15" t="s">
        <v>64</v>
      </c>
      <c r="B2" s="46">
        <v>1</v>
      </c>
      <c r="C2" s="21">
        <v>1000000</v>
      </c>
      <c r="D2" s="21">
        <f>C2*12</f>
        <v>12000000</v>
      </c>
      <c r="E2" s="25">
        <f>D2/G2</f>
        <v>418.15678579605031</v>
      </c>
      <c r="G2" s="23">
        <v>28697.37</v>
      </c>
      <c r="H2" s="24">
        <v>50372</v>
      </c>
    </row>
    <row r="3" spans="1:9" x14ac:dyDescent="0.25">
      <c r="A3" s="15" t="s">
        <v>65</v>
      </c>
      <c r="B3" s="46">
        <v>1</v>
      </c>
      <c r="C3" s="21">
        <v>1200000</v>
      </c>
      <c r="D3" s="21">
        <f>C3*12</f>
        <v>14400000</v>
      </c>
      <c r="E3" s="25">
        <f>D3/G2</f>
        <v>501.78814295526035</v>
      </c>
    </row>
    <row r="4" spans="1:9" x14ac:dyDescent="0.25">
      <c r="A4" s="17" t="s">
        <v>28</v>
      </c>
      <c r="B4" s="101">
        <f>SUM(B2:B3)</f>
        <v>2</v>
      </c>
      <c r="C4" s="19">
        <f>SUM(C2:C3)</f>
        <v>2200000</v>
      </c>
      <c r="D4" s="19">
        <f>SUM(D2:D3)</f>
        <v>26400000</v>
      </c>
      <c r="E4" s="26">
        <f>SUM(E2:E3)</f>
        <v>919.94492875131073</v>
      </c>
    </row>
    <row r="5" spans="1:9" x14ac:dyDescent="0.25">
      <c r="G5" s="159" t="s">
        <v>66</v>
      </c>
      <c r="H5" s="159" t="s">
        <v>67</v>
      </c>
      <c r="I5" s="159" t="s">
        <v>68</v>
      </c>
    </row>
    <row r="6" spans="1:9" ht="30.75" customHeight="1" x14ac:dyDescent="0.25">
      <c r="A6" s="159" t="s">
        <v>58</v>
      </c>
      <c r="B6" s="159" t="s">
        <v>59</v>
      </c>
      <c r="C6" s="159" t="s">
        <v>60</v>
      </c>
      <c r="D6" s="159" t="s">
        <v>61</v>
      </c>
      <c r="E6" s="29" t="s">
        <v>62</v>
      </c>
      <c r="G6" s="15" t="s">
        <v>69</v>
      </c>
      <c r="H6" s="21">
        <v>150000</v>
      </c>
      <c r="I6" s="14">
        <f t="shared" ref="I6:I11" si="0">H6/$G$2</f>
        <v>5.2269598224506293</v>
      </c>
    </row>
    <row r="7" spans="1:9" x14ac:dyDescent="0.25">
      <c r="A7" s="15" t="s">
        <v>70</v>
      </c>
      <c r="B7" s="46">
        <v>1</v>
      </c>
      <c r="C7" s="21">
        <v>1000000</v>
      </c>
      <c r="D7" s="21">
        <f>C7*B7*12</f>
        <v>12000000</v>
      </c>
      <c r="E7" s="25">
        <f>D7/$G$2</f>
        <v>418.15678579605031</v>
      </c>
      <c r="G7" s="15" t="s">
        <v>71</v>
      </c>
      <c r="H7" s="21">
        <v>60000</v>
      </c>
      <c r="I7" s="14">
        <f t="shared" si="0"/>
        <v>2.0907839289802514</v>
      </c>
    </row>
    <row r="8" spans="1:9" x14ac:dyDescent="0.25">
      <c r="A8" s="15" t="s">
        <v>72</v>
      </c>
      <c r="B8" s="46">
        <v>2</v>
      </c>
      <c r="C8" s="21">
        <f>500000</f>
        <v>500000</v>
      </c>
      <c r="D8" s="21">
        <f>C8*B8*12</f>
        <v>12000000</v>
      </c>
      <c r="E8" s="25">
        <f>D8/$G$2</f>
        <v>418.15678579605031</v>
      </c>
      <c r="G8" s="15" t="s">
        <v>73</v>
      </c>
      <c r="H8" s="21">
        <v>72000</v>
      </c>
      <c r="I8" s="14">
        <f t="shared" si="0"/>
        <v>2.5089407147763021</v>
      </c>
    </row>
    <row r="9" spans="1:9" x14ac:dyDescent="0.25">
      <c r="A9" s="15" t="s">
        <v>74</v>
      </c>
      <c r="B9" s="46">
        <v>2</v>
      </c>
      <c r="C9" s="21">
        <f>500000</f>
        <v>500000</v>
      </c>
      <c r="D9" s="21">
        <f>C9*B9*12</f>
        <v>12000000</v>
      </c>
      <c r="E9" s="25">
        <f>D9/$G$2</f>
        <v>418.15678579605031</v>
      </c>
      <c r="F9" s="8"/>
      <c r="G9" s="15" t="s">
        <v>75</v>
      </c>
      <c r="H9" s="21">
        <v>50000</v>
      </c>
      <c r="I9" s="14">
        <f t="shared" si="0"/>
        <v>1.7423199408168764</v>
      </c>
    </row>
    <row r="10" spans="1:9" x14ac:dyDescent="0.25">
      <c r="A10" s="15" t="s">
        <v>76</v>
      </c>
      <c r="B10" s="46">
        <v>2</v>
      </c>
      <c r="C10" s="21">
        <f>350000</f>
        <v>350000</v>
      </c>
      <c r="D10" s="21">
        <f>C10*B10*12</f>
        <v>8400000</v>
      </c>
      <c r="E10" s="25">
        <f>D10/$G$2</f>
        <v>292.70975005723523</v>
      </c>
      <c r="F10" s="8"/>
      <c r="G10" s="15" t="s">
        <v>77</v>
      </c>
      <c r="H10" s="21">
        <f>3*H2</f>
        <v>151116</v>
      </c>
      <c r="I10" s="14">
        <f t="shared" si="0"/>
        <v>5.2658484035296613</v>
      </c>
    </row>
    <row r="11" spans="1:9" x14ac:dyDescent="0.25">
      <c r="A11" s="17" t="s">
        <v>28</v>
      </c>
      <c r="B11" s="101">
        <f>SUM(B7:B10)</f>
        <v>7</v>
      </c>
      <c r="C11" s="19">
        <f>SUM(C7:C10)</f>
        <v>2350000</v>
      </c>
      <c r="D11" s="19">
        <f>SUM(D7:D10)</f>
        <v>44400000</v>
      </c>
      <c r="E11" s="26">
        <f>SUM(E7:E10)</f>
        <v>1547.1801074453861</v>
      </c>
      <c r="F11" s="8"/>
      <c r="G11" s="15" t="s">
        <v>78</v>
      </c>
      <c r="H11" s="21">
        <v>20000</v>
      </c>
      <c r="I11" s="14">
        <f t="shared" si="0"/>
        <v>0.69692797632675052</v>
      </c>
    </row>
    <row r="12" spans="1:9" x14ac:dyDescent="0.25">
      <c r="C12" s="2"/>
      <c r="D12" s="2"/>
      <c r="E12" s="6"/>
      <c r="F12" s="6"/>
      <c r="G12" s="17" t="s">
        <v>28</v>
      </c>
      <c r="H12" s="19">
        <f>SUM(H6:H11)</f>
        <v>503116</v>
      </c>
      <c r="I12" s="20">
        <f>SUM(I6:I11)</f>
        <v>17.531780786880471</v>
      </c>
    </row>
    <row r="13" spans="1:9" ht="30" x14ac:dyDescent="0.25">
      <c r="A13" s="159" t="s">
        <v>58</v>
      </c>
      <c r="B13" s="159" t="s">
        <v>59</v>
      </c>
      <c r="C13" s="30" t="s">
        <v>60</v>
      </c>
      <c r="D13" s="31" t="s">
        <v>61</v>
      </c>
      <c r="E13" s="32" t="s">
        <v>62</v>
      </c>
    </row>
    <row r="14" spans="1:9" x14ac:dyDescent="0.25">
      <c r="A14" s="15" t="s">
        <v>79</v>
      </c>
      <c r="B14" s="46">
        <v>1</v>
      </c>
      <c r="C14" s="21">
        <v>250000</v>
      </c>
      <c r="D14" s="21">
        <f>C14*12</f>
        <v>3000000</v>
      </c>
      <c r="E14" s="25">
        <f>D14/$G$2</f>
        <v>104.53919644901258</v>
      </c>
    </row>
    <row r="15" spans="1:9" x14ac:dyDescent="0.25">
      <c r="A15" s="15" t="s">
        <v>80</v>
      </c>
      <c r="B15" s="46">
        <v>1</v>
      </c>
      <c r="C15" s="21">
        <v>300000</v>
      </c>
      <c r="D15" s="21">
        <f>C15*12</f>
        <v>3600000</v>
      </c>
      <c r="E15" s="25">
        <f>D15/$G$2</f>
        <v>125.44703573881509</v>
      </c>
      <c r="G15" s="159" t="s">
        <v>81</v>
      </c>
      <c r="H15" s="159" t="s">
        <v>67</v>
      </c>
      <c r="I15" s="159" t="s">
        <v>68</v>
      </c>
    </row>
    <row r="16" spans="1:9" x14ac:dyDescent="0.25">
      <c r="A16" s="17" t="s">
        <v>28</v>
      </c>
      <c r="B16" s="101">
        <f>SUM(B14:B15)</f>
        <v>2</v>
      </c>
      <c r="C16" s="19">
        <f>SUM(C14:C15)</f>
        <v>550000</v>
      </c>
      <c r="D16" s="19">
        <f>SUM(D14:D15)</f>
        <v>6600000</v>
      </c>
      <c r="E16" s="20">
        <f>SUM(E14:E15)</f>
        <v>229.98623218782768</v>
      </c>
      <c r="G16" s="15" t="s">
        <v>82</v>
      </c>
      <c r="H16" s="27">
        <v>300000</v>
      </c>
      <c r="I16" s="14">
        <f>H16/$G$2</f>
        <v>10.453919644901259</v>
      </c>
    </row>
    <row r="17" spans="1:9" x14ac:dyDescent="0.25">
      <c r="G17" s="15" t="s">
        <v>83</v>
      </c>
      <c r="H17" s="27">
        <v>150000</v>
      </c>
      <c r="I17" s="14">
        <f>H17/$G$2</f>
        <v>5.2269598224506293</v>
      </c>
    </row>
    <row r="18" spans="1:9" x14ac:dyDescent="0.25">
      <c r="A18" s="161" t="s">
        <v>84</v>
      </c>
      <c r="B18" s="162"/>
      <c r="C18" s="159" t="s">
        <v>85</v>
      </c>
      <c r="D18" s="159" t="s">
        <v>86</v>
      </c>
      <c r="E18" s="159" t="s">
        <v>87</v>
      </c>
      <c r="G18" s="15" t="s">
        <v>88</v>
      </c>
      <c r="H18" s="27">
        <v>260000</v>
      </c>
      <c r="I18" s="14">
        <f>H18/$G$2</f>
        <v>9.0600636922477573</v>
      </c>
    </row>
    <row r="19" spans="1:9" x14ac:dyDescent="0.25">
      <c r="A19" s="166" t="s">
        <v>89</v>
      </c>
      <c r="B19" s="167"/>
      <c r="C19" s="21">
        <v>30000</v>
      </c>
      <c r="D19" s="21">
        <f t="shared" ref="D19:D24" si="1">C19*12</f>
        <v>360000</v>
      </c>
      <c r="E19" s="14">
        <f t="shared" ref="E19:E24" si="2">D19/$G$2</f>
        <v>12.54470357388151</v>
      </c>
      <c r="G19" s="17" t="s">
        <v>28</v>
      </c>
      <c r="H19" s="28">
        <f>SUM(H16:H18)</f>
        <v>710000</v>
      </c>
      <c r="I19" s="20">
        <f>SUM(I16:I18)</f>
        <v>24.740943159599645</v>
      </c>
    </row>
    <row r="20" spans="1:9" x14ac:dyDescent="0.25">
      <c r="A20" s="166" t="s">
        <v>90</v>
      </c>
      <c r="B20" s="167"/>
      <c r="C20" s="21">
        <v>8000</v>
      </c>
      <c r="D20" s="21">
        <f t="shared" si="1"/>
        <v>96000</v>
      </c>
      <c r="E20" s="14">
        <f t="shared" si="2"/>
        <v>3.3452542863684025</v>
      </c>
    </row>
    <row r="21" spans="1:9" x14ac:dyDescent="0.25">
      <c r="A21" s="166" t="s">
        <v>91</v>
      </c>
      <c r="B21" s="167"/>
      <c r="C21" s="21">
        <v>25000</v>
      </c>
      <c r="D21" s="21">
        <f t="shared" si="1"/>
        <v>300000</v>
      </c>
      <c r="E21" s="14">
        <f t="shared" si="2"/>
        <v>10.453919644901259</v>
      </c>
    </row>
    <row r="22" spans="1:9" x14ac:dyDescent="0.25">
      <c r="A22" s="166" t="s">
        <v>92</v>
      </c>
      <c r="B22" s="167"/>
      <c r="C22" s="21">
        <v>15000</v>
      </c>
      <c r="D22" s="21">
        <f t="shared" si="1"/>
        <v>180000</v>
      </c>
      <c r="E22" s="14">
        <f t="shared" si="2"/>
        <v>6.2723517869407548</v>
      </c>
    </row>
    <row r="23" spans="1:9" x14ac:dyDescent="0.25">
      <c r="A23" s="166" t="s">
        <v>93</v>
      </c>
      <c r="B23" s="167"/>
      <c r="C23" s="21">
        <v>200000</v>
      </c>
      <c r="D23" s="21">
        <f t="shared" si="1"/>
        <v>2400000</v>
      </c>
      <c r="E23" s="14">
        <f t="shared" si="2"/>
        <v>83.631357159210069</v>
      </c>
      <c r="G23" s="105" t="s">
        <v>94</v>
      </c>
      <c r="H23" s="163" t="s">
        <v>48</v>
      </c>
      <c r="I23" s="163"/>
    </row>
    <row r="24" spans="1:9" x14ac:dyDescent="0.25">
      <c r="A24" s="166" t="s">
        <v>95</v>
      </c>
      <c r="B24" s="167"/>
      <c r="C24" s="21">
        <v>130000</v>
      </c>
      <c r="D24" s="21">
        <f t="shared" si="1"/>
        <v>1560000</v>
      </c>
      <c r="E24" s="14">
        <f t="shared" si="2"/>
        <v>54.36038215348654</v>
      </c>
      <c r="G24" s="15" t="s">
        <v>96</v>
      </c>
      <c r="H24" s="173">
        <f>C23/G2</f>
        <v>6.9692797632675054</v>
      </c>
      <c r="I24" s="174"/>
    </row>
    <row r="25" spans="1:9" x14ac:dyDescent="0.25">
      <c r="A25" s="169" t="s">
        <v>28</v>
      </c>
      <c r="B25" s="170"/>
      <c r="C25" s="19">
        <f>SUM(C19:C24)</f>
        <v>408000</v>
      </c>
      <c r="D25" s="19">
        <f>SUM(D19:D24)</f>
        <v>4896000</v>
      </c>
      <c r="E25" s="20">
        <f>SUM(E19:E24)</f>
        <v>170.60796860478854</v>
      </c>
      <c r="G25" s="104" t="s">
        <v>97</v>
      </c>
      <c r="H25" s="171">
        <f>I12</f>
        <v>17.531780786880471</v>
      </c>
      <c r="I25" s="172"/>
    </row>
    <row r="26" spans="1:9" x14ac:dyDescent="0.25">
      <c r="C26" s="2"/>
      <c r="D26" s="2"/>
      <c r="E26" s="8"/>
      <c r="G26" s="104" t="s">
        <v>98</v>
      </c>
      <c r="H26" s="171">
        <f>I19</f>
        <v>24.740943159599645</v>
      </c>
      <c r="I26" s="172"/>
    </row>
    <row r="27" spans="1:9" x14ac:dyDescent="0.25">
      <c r="B27" s="159" t="s">
        <v>59</v>
      </c>
      <c r="C27" s="159" t="s">
        <v>99</v>
      </c>
      <c r="D27" s="159" t="s">
        <v>68</v>
      </c>
      <c r="E27" s="56" t="s">
        <v>35</v>
      </c>
      <c r="G27" s="161" t="s">
        <v>100</v>
      </c>
      <c r="H27" s="168"/>
      <c r="I27" s="135">
        <f>SUM(H24:I26)</f>
        <v>49.242003709747621</v>
      </c>
    </row>
    <row r="28" spans="1:9" x14ac:dyDescent="0.25">
      <c r="B28" s="151">
        <f>B4</f>
        <v>2</v>
      </c>
      <c r="C28" s="69">
        <v>350000</v>
      </c>
      <c r="D28" s="152">
        <f>C28/G2</f>
        <v>12.196239585718134</v>
      </c>
      <c r="E28" s="20">
        <f>D28*B28</f>
        <v>24.392479171436268</v>
      </c>
    </row>
    <row r="29" spans="1:9" x14ac:dyDescent="0.25">
      <c r="B29" s="151">
        <f>B11</f>
        <v>7</v>
      </c>
      <c r="C29" s="69">
        <v>350000</v>
      </c>
      <c r="D29" s="153">
        <f>C29/G2</f>
        <v>12.196239585718134</v>
      </c>
      <c r="E29" s="20">
        <f>D29*B29</f>
        <v>85.373677100026939</v>
      </c>
    </row>
    <row r="30" spans="1:9" x14ac:dyDescent="0.25">
      <c r="B30" s="161" t="s">
        <v>101</v>
      </c>
      <c r="C30" s="168"/>
      <c r="D30" s="162"/>
      <c r="E30" s="20">
        <f>E28+E29</f>
        <v>109.7661562714632</v>
      </c>
    </row>
    <row r="31" spans="1:9" x14ac:dyDescent="0.25">
      <c r="C31" s="1"/>
    </row>
    <row r="32" spans="1:9" x14ac:dyDescent="0.25">
      <c r="A32" s="163" t="s">
        <v>102</v>
      </c>
      <c r="B32" s="163"/>
      <c r="C32" s="26">
        <f>E4+E16+E25+E28</f>
        <v>1344.9316087153632</v>
      </c>
      <c r="D32" s="9">
        <f>C34*0.47203</f>
        <v>1344.931782250429</v>
      </c>
    </row>
    <row r="33" spans="1:4" x14ac:dyDescent="0.25">
      <c r="A33" s="163" t="s">
        <v>103</v>
      </c>
      <c r="B33" s="163"/>
      <c r="C33" s="26">
        <f>E4+E15+E25+D36</f>
        <v>1216.3483970830775</v>
      </c>
      <c r="D33" s="9">
        <f>C34*0.4269</f>
        <v>1216.3451006137493</v>
      </c>
    </row>
    <row r="34" spans="1:4" x14ac:dyDescent="0.25">
      <c r="A34" s="163" t="s">
        <v>104</v>
      </c>
      <c r="B34" s="163"/>
      <c r="C34" s="26">
        <f>E4+E11+E15+E25+E29+D36*2</f>
        <v>2849.2506456166534</v>
      </c>
    </row>
    <row r="36" spans="1:4" x14ac:dyDescent="0.25">
      <c r="A36" t="s">
        <v>105</v>
      </c>
      <c r="C36" s="8">
        <f>E25</f>
        <v>170.60796860478854</v>
      </c>
      <c r="D36" s="8">
        <f>10000/G2</f>
        <v>0.34846398816337526</v>
      </c>
    </row>
    <row r="37" spans="1:4" x14ac:dyDescent="0.25">
      <c r="A37" s="8"/>
      <c r="C37" s="8">
        <f>C36+D36</f>
        <v>170.95643259295193</v>
      </c>
    </row>
  </sheetData>
  <mergeCells count="17">
    <mergeCell ref="H23:I23"/>
    <mergeCell ref="A32:B32"/>
    <mergeCell ref="A33:B33"/>
    <mergeCell ref="B30:D30"/>
    <mergeCell ref="A24:B24"/>
    <mergeCell ref="A25:B25"/>
    <mergeCell ref="H25:I25"/>
    <mergeCell ref="H26:I26"/>
    <mergeCell ref="H24:I24"/>
    <mergeCell ref="G27:H27"/>
    <mergeCell ref="A34:B34"/>
    <mergeCell ref="A18:B18"/>
    <mergeCell ref="A19:B19"/>
    <mergeCell ref="A20:B20"/>
    <mergeCell ref="A21:B21"/>
    <mergeCell ref="A22:B22"/>
    <mergeCell ref="A23:B2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2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H19" sqref="H19"/>
    </sheetView>
  </sheetViews>
  <sheetFormatPr baseColWidth="10" defaultColWidth="11.42578125" defaultRowHeight="15" x14ac:dyDescent="0.25"/>
  <cols>
    <col min="1" max="1" width="3.42578125" bestFit="1" customWidth="1"/>
    <col min="2" max="2" width="18.7109375" bestFit="1" customWidth="1"/>
    <col min="3" max="3" width="10.140625" customWidth="1"/>
    <col min="4" max="4" width="9.7109375" bestFit="1" customWidth="1"/>
    <col min="5" max="5" width="10.28515625" bestFit="1" customWidth="1"/>
    <col min="6" max="6" width="9.7109375" bestFit="1" customWidth="1"/>
    <col min="7" max="7" width="9.85546875" bestFit="1" customWidth="1"/>
    <col min="8" max="9" width="9.7109375" bestFit="1" customWidth="1"/>
    <col min="10" max="10" width="9.5703125" customWidth="1"/>
    <col min="11" max="11" width="9.85546875" customWidth="1"/>
    <col min="12" max="12" width="9.5703125" customWidth="1"/>
    <col min="13" max="13" width="9.7109375" customWidth="1"/>
    <col min="14" max="14" width="9.7109375" bestFit="1" customWidth="1"/>
    <col min="15" max="15" width="9.7109375" customWidth="1"/>
    <col min="16" max="27" width="9.7109375" bestFit="1" customWidth="1"/>
    <col min="28" max="28" width="11.5703125" bestFit="1" customWidth="1"/>
  </cols>
  <sheetData>
    <row r="1" spans="1:28" x14ac:dyDescent="0.25">
      <c r="A1" s="37"/>
      <c r="B1" s="15"/>
      <c r="C1" s="15">
        <v>0</v>
      </c>
      <c r="D1" s="15">
        <v>1</v>
      </c>
      <c r="E1" s="15">
        <v>2</v>
      </c>
      <c r="F1" s="15">
        <v>3</v>
      </c>
      <c r="G1" s="15">
        <v>4</v>
      </c>
      <c r="H1" s="15">
        <v>5</v>
      </c>
      <c r="I1" s="15">
        <v>6</v>
      </c>
      <c r="J1" s="15">
        <v>7</v>
      </c>
      <c r="K1" s="15">
        <v>8</v>
      </c>
      <c r="L1" s="15">
        <v>9</v>
      </c>
      <c r="M1" s="15">
        <v>10</v>
      </c>
      <c r="N1" s="15">
        <v>11</v>
      </c>
      <c r="O1" s="15">
        <v>12</v>
      </c>
      <c r="P1" s="15">
        <v>13</v>
      </c>
      <c r="Q1" s="15">
        <v>14</v>
      </c>
      <c r="R1" s="15">
        <v>15</v>
      </c>
      <c r="S1" s="15">
        <v>16</v>
      </c>
      <c r="T1" s="15">
        <v>17</v>
      </c>
      <c r="U1" s="15">
        <v>18</v>
      </c>
      <c r="V1" s="15">
        <v>19</v>
      </c>
      <c r="W1" s="15">
        <v>20</v>
      </c>
      <c r="X1" s="15">
        <v>21</v>
      </c>
      <c r="Y1" s="15">
        <v>22</v>
      </c>
      <c r="Z1" s="15">
        <v>23</v>
      </c>
      <c r="AA1" s="15">
        <v>24</v>
      </c>
      <c r="AB1" s="15">
        <v>25</v>
      </c>
    </row>
    <row r="2" spans="1:28" x14ac:dyDescent="0.25">
      <c r="A2" s="37" t="s">
        <v>106</v>
      </c>
      <c r="B2" s="15" t="s">
        <v>107</v>
      </c>
      <c r="C2" s="38"/>
      <c r="D2" s="118">
        <v>0</v>
      </c>
      <c r="E2" s="38">
        <v>0</v>
      </c>
      <c r="F2" s="38">
        <f>C41</f>
        <v>6416.6666666666661</v>
      </c>
      <c r="G2" s="38">
        <f>C42</f>
        <v>7700</v>
      </c>
      <c r="H2" s="38">
        <f t="shared" ref="H2:AA2" si="0">G2</f>
        <v>7700</v>
      </c>
      <c r="I2" s="38">
        <f t="shared" si="0"/>
        <v>7700</v>
      </c>
      <c r="J2" s="38">
        <f t="shared" si="0"/>
        <v>7700</v>
      </c>
      <c r="K2" s="38">
        <f t="shared" si="0"/>
        <v>7700</v>
      </c>
      <c r="L2" s="38">
        <f t="shared" si="0"/>
        <v>7700</v>
      </c>
      <c r="M2" s="38">
        <f t="shared" si="0"/>
        <v>7700</v>
      </c>
      <c r="N2" s="38">
        <f t="shared" si="0"/>
        <v>7700</v>
      </c>
      <c r="O2" s="38">
        <f t="shared" si="0"/>
        <v>7700</v>
      </c>
      <c r="P2" s="38">
        <f t="shared" si="0"/>
        <v>7700</v>
      </c>
      <c r="Q2" s="38">
        <f t="shared" si="0"/>
        <v>7700</v>
      </c>
      <c r="R2" s="38">
        <f t="shared" si="0"/>
        <v>7700</v>
      </c>
      <c r="S2" s="38">
        <f t="shared" si="0"/>
        <v>7700</v>
      </c>
      <c r="T2" s="38">
        <f t="shared" si="0"/>
        <v>7700</v>
      </c>
      <c r="U2" s="38">
        <f t="shared" si="0"/>
        <v>7700</v>
      </c>
      <c r="V2" s="38">
        <f t="shared" si="0"/>
        <v>7700</v>
      </c>
      <c r="W2" s="38">
        <f t="shared" si="0"/>
        <v>7700</v>
      </c>
      <c r="X2" s="38">
        <f t="shared" si="0"/>
        <v>7700</v>
      </c>
      <c r="Y2" s="38">
        <f t="shared" si="0"/>
        <v>7700</v>
      </c>
      <c r="Z2" s="38">
        <f t="shared" si="0"/>
        <v>7700</v>
      </c>
      <c r="AA2" s="38">
        <f t="shared" si="0"/>
        <v>7700</v>
      </c>
      <c r="AB2" s="38">
        <f>AA2+'capital de trabajo meses'!D2*2</f>
        <v>8654.345798378039</v>
      </c>
    </row>
    <row r="3" spans="1:28" x14ac:dyDescent="0.25">
      <c r="A3" s="37" t="s">
        <v>108</v>
      </c>
      <c r="B3" s="15" t="s">
        <v>109</v>
      </c>
      <c r="C3" s="38"/>
      <c r="D3" s="118">
        <f>C33</f>
        <v>-1344.93</v>
      </c>
      <c r="E3" s="38">
        <f>C34</f>
        <v>-1216.3499999999999</v>
      </c>
      <c r="F3" s="38">
        <f>C35</f>
        <v>-2849.25</v>
      </c>
      <c r="G3" s="38">
        <f>F3-'gastos de personal'!$D$36</f>
        <v>-2849.5984639881635</v>
      </c>
      <c r="H3" s="38">
        <f>G3-'gastos de personal'!$D$36</f>
        <v>-2849.9469279763271</v>
      </c>
      <c r="I3" s="38">
        <f>H3-'gastos de personal'!$D$36</f>
        <v>-2850.2953919644906</v>
      </c>
      <c r="J3" s="38">
        <f>I3-'gastos de personal'!$D$36</f>
        <v>-2850.6438559526541</v>
      </c>
      <c r="K3" s="38">
        <f>J3-'gastos de personal'!$D$36</f>
        <v>-2850.9923199408177</v>
      </c>
      <c r="L3" s="38">
        <f>K3-'gastos de personal'!$D$36</f>
        <v>-2851.3407839289812</v>
      </c>
      <c r="M3" s="38">
        <f>L3-'gastos de personal'!$D$36</f>
        <v>-2851.6892479171447</v>
      </c>
      <c r="N3" s="38">
        <f>M3-'gastos de personal'!$D$36</f>
        <v>-2852.0377119053082</v>
      </c>
      <c r="O3" s="38">
        <f>N3-'gastos de personal'!$D$36</f>
        <v>-2852.3861758934718</v>
      </c>
      <c r="P3" s="38">
        <f>O3-'gastos de personal'!$D$36</f>
        <v>-2852.7346398816353</v>
      </c>
      <c r="Q3" s="38">
        <f>P3-'gastos de personal'!$D$36</f>
        <v>-2853.0831038697988</v>
      </c>
      <c r="R3" s="38">
        <f>Q3-'gastos de personal'!$D$36</f>
        <v>-2853.4315678579624</v>
      </c>
      <c r="S3" s="38">
        <f>R3-'gastos de personal'!$D$36</f>
        <v>-2853.7800318461259</v>
      </c>
      <c r="T3" s="38">
        <f>S3-'gastos de personal'!$D$36</f>
        <v>-2854.1284958342894</v>
      </c>
      <c r="U3" s="38">
        <f>T3-'gastos de personal'!$D$36</f>
        <v>-2854.476959822453</v>
      </c>
      <c r="V3" s="38">
        <f>U3-'gastos de personal'!$D$36</f>
        <v>-2854.8254238106165</v>
      </c>
      <c r="W3" s="38">
        <f>V3-'gastos de personal'!$D$36</f>
        <v>-2855.17388779878</v>
      </c>
      <c r="X3" s="38">
        <f>W3-'gastos de personal'!$D$36</f>
        <v>-2855.5223517869435</v>
      </c>
      <c r="Y3" s="38">
        <f>X3-'gastos de personal'!$D$36</f>
        <v>-2855.8708157751071</v>
      </c>
      <c r="Z3" s="38">
        <f>Y3-'gastos de personal'!$D$36</f>
        <v>-2856.2192797632706</v>
      </c>
      <c r="AA3" s="38">
        <f>Z3-'gastos de personal'!$D$36</f>
        <v>-2856.5677437514341</v>
      </c>
      <c r="AB3" s="38">
        <f>AA3-'gastos de personal'!$D$36</f>
        <v>-2856.9162077395977</v>
      </c>
    </row>
    <row r="4" spans="1:28" x14ac:dyDescent="0.25">
      <c r="A4" s="37" t="s">
        <v>110</v>
      </c>
      <c r="B4" s="17" t="s">
        <v>111</v>
      </c>
      <c r="C4" s="39"/>
      <c r="D4" s="39">
        <f>SUM(D2+D3)</f>
        <v>-1344.93</v>
      </c>
      <c r="E4" s="39">
        <f t="shared" ref="E4:AB4" si="1">SUM(E2+E3)</f>
        <v>-1216.3499999999999</v>
      </c>
      <c r="F4" s="39">
        <f t="shared" si="1"/>
        <v>3567.4166666666661</v>
      </c>
      <c r="G4" s="39">
        <f t="shared" si="1"/>
        <v>4850.4015360118365</v>
      </c>
      <c r="H4" s="39">
        <f t="shared" si="1"/>
        <v>4850.0530720236729</v>
      </c>
      <c r="I4" s="39">
        <f t="shared" si="1"/>
        <v>4849.7046080355094</v>
      </c>
      <c r="J4" s="39">
        <f t="shared" si="1"/>
        <v>4849.3561440473459</v>
      </c>
      <c r="K4" s="39">
        <f t="shared" si="1"/>
        <v>4849.0076800591823</v>
      </c>
      <c r="L4" s="39">
        <f t="shared" si="1"/>
        <v>4848.6592160710188</v>
      </c>
      <c r="M4" s="39">
        <f t="shared" si="1"/>
        <v>4848.3107520828553</v>
      </c>
      <c r="N4" s="39">
        <f t="shared" si="1"/>
        <v>4847.9622880946918</v>
      </c>
      <c r="O4" s="39">
        <f t="shared" si="1"/>
        <v>4847.6138241065282</v>
      </c>
      <c r="P4" s="39">
        <f t="shared" si="1"/>
        <v>4847.2653601183647</v>
      </c>
      <c r="Q4" s="39">
        <f t="shared" si="1"/>
        <v>4846.9168961302012</v>
      </c>
      <c r="R4" s="39">
        <f t="shared" si="1"/>
        <v>4846.5684321420376</v>
      </c>
      <c r="S4" s="39">
        <f t="shared" si="1"/>
        <v>4846.2199681538741</v>
      </c>
      <c r="T4" s="39">
        <f t="shared" si="1"/>
        <v>4845.8715041657106</v>
      </c>
      <c r="U4" s="39">
        <f t="shared" si="1"/>
        <v>4845.523040177547</v>
      </c>
      <c r="V4" s="39">
        <f t="shared" si="1"/>
        <v>4845.1745761893835</v>
      </c>
      <c r="W4" s="39">
        <f t="shared" si="1"/>
        <v>4844.82611220122</v>
      </c>
      <c r="X4" s="39">
        <f t="shared" si="1"/>
        <v>4844.4776482130565</v>
      </c>
      <c r="Y4" s="39">
        <f t="shared" si="1"/>
        <v>4844.1291842248929</v>
      </c>
      <c r="Z4" s="39">
        <f t="shared" si="1"/>
        <v>4843.7807202367294</v>
      </c>
      <c r="AA4" s="39">
        <f t="shared" si="1"/>
        <v>4843.4322562485659</v>
      </c>
      <c r="AB4" s="39">
        <f t="shared" si="1"/>
        <v>5797.4295906384414</v>
      </c>
    </row>
    <row r="5" spans="1:28" x14ac:dyDescent="0.25">
      <c r="A5" s="37" t="s">
        <v>108</v>
      </c>
      <c r="B5" s="15" t="s">
        <v>112</v>
      </c>
      <c r="C5" s="38"/>
      <c r="D5" s="38">
        <f>-'amortizacion 75%'!D7</f>
        <v>-906.63798326069707</v>
      </c>
      <c r="E5" s="38">
        <f>-'amortizacion 75%'!D8</f>
        <v>-742.13269810283043</v>
      </c>
      <c r="F5" s="38">
        <f>-'amortizacion 75%'!D9</f>
        <v>-569.61600555777579</v>
      </c>
      <c r="G5" s="38">
        <f>-'amortizacion 75%'!D10</f>
        <v>-388.69775008577699</v>
      </c>
      <c r="H5" s="38">
        <f>-'amortizacion 75%'!D11</f>
        <v>-198.9687755722918</v>
      </c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</row>
    <row r="6" spans="1:28" x14ac:dyDescent="0.25">
      <c r="A6" s="37" t="s">
        <v>108</v>
      </c>
      <c r="B6" s="15" t="s">
        <v>113</v>
      </c>
      <c r="C6" s="38"/>
      <c r="D6" s="38"/>
      <c r="E6" s="38">
        <f>-'amortizacion 75%'!D20</f>
        <v>-274.1567242871007</v>
      </c>
      <c r="F6" s="38">
        <f>-'amortizacion 75%'!D29</f>
        <v>-555.40287864049094</v>
      </c>
      <c r="G6" s="38">
        <f>-'amortizacion 75%'!D38</f>
        <v>-697.484858309424</v>
      </c>
      <c r="H6" s="38">
        <f>-'amortizacion 75%'!D47</f>
        <v>-800.02656020344705</v>
      </c>
      <c r="I6" s="38">
        <f>-'amortizacion 75%'!D56</f>
        <v>-907.5790131759328</v>
      </c>
      <c r="J6" s="38">
        <f>-'amortizacion 75%'!D65</f>
        <v>-811.72768586173959</v>
      </c>
      <c r="K6" s="38">
        <f>-'amortizacion 75%'!D74</f>
        <v>-711.2253691035686</v>
      </c>
      <c r="L6" s="38">
        <f>-'amortizacion 75%'!D83</f>
        <v>-605.84555971549821</v>
      </c>
      <c r="M6" s="38">
        <f>-'amortizacion 75%'!D92</f>
        <v>-495.35072380645232</v>
      </c>
      <c r="N6" s="38">
        <f>-'amortizacion 75%'!D101</f>
        <v>-379.49175958485955</v>
      </c>
      <c r="O6" s="38">
        <f>-'amortizacion 75%'!D110</f>
        <v>-258.00743400189867</v>
      </c>
      <c r="P6" s="38">
        <f>-'amortizacion 75%'!D119</f>
        <v>-130.62379195927122</v>
      </c>
      <c r="Q6" s="38">
        <f>-'amortizacion 75%'!D128</f>
        <v>0</v>
      </c>
      <c r="R6" s="38">
        <f>-'amortizacion 75%'!D137</f>
        <v>0</v>
      </c>
      <c r="S6" s="38">
        <f>-'amortizacion 75%'!D146</f>
        <v>0</v>
      </c>
      <c r="T6" s="38">
        <f>-'amortizacion 75%'!D155</f>
        <v>0</v>
      </c>
      <c r="U6" s="38">
        <f>-'amortizacion 75%'!D164</f>
        <v>0</v>
      </c>
      <c r="V6" s="38">
        <f>-'amortizacion 75%'!D173</f>
        <v>0</v>
      </c>
      <c r="W6" s="38">
        <f>-'amortizacion 75%'!D182</f>
        <v>0</v>
      </c>
      <c r="X6" s="38">
        <f>-'amortizacion 75%'!D191</f>
        <v>0</v>
      </c>
      <c r="Y6" s="38">
        <f>-'amortizacion 75%'!D200</f>
        <v>0</v>
      </c>
      <c r="Z6" s="38">
        <f>-'amortizacion 75%'!D209</f>
        <v>0</v>
      </c>
      <c r="AA6" s="38">
        <f>-'amortizacion 75%'!D218</f>
        <v>0</v>
      </c>
      <c r="AB6" s="38">
        <f>-'amortizacion 75%'!D227</f>
        <v>0</v>
      </c>
    </row>
    <row r="7" spans="1:28" x14ac:dyDescent="0.25">
      <c r="A7" s="37" t="s">
        <v>108</v>
      </c>
      <c r="B7" s="15" t="s">
        <v>114</v>
      </c>
      <c r="C7" s="38"/>
      <c r="D7" s="38">
        <f>-depreciación!D14</f>
        <v>-6499.2540052194581</v>
      </c>
      <c r="E7" s="38">
        <f>-depreciación!E14</f>
        <v>-6499.2540052194581</v>
      </c>
      <c r="F7" s="38">
        <f>-depreciación!F14</f>
        <v>-6233.4468075563973</v>
      </c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</row>
    <row r="8" spans="1:28" x14ac:dyDescent="0.25">
      <c r="A8" s="40" t="s">
        <v>115</v>
      </c>
      <c r="B8" s="15" t="s">
        <v>116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</row>
    <row r="9" spans="1:28" x14ac:dyDescent="0.25">
      <c r="A9" s="37" t="s">
        <v>108</v>
      </c>
      <c r="B9" s="15" t="s">
        <v>117</v>
      </c>
      <c r="C9" s="38"/>
      <c r="D9" s="38"/>
      <c r="E9" s="38">
        <f>IF(D10&lt;1,(D10),(0))</f>
        <v>-8750.8219884801547</v>
      </c>
      <c r="F9" s="38">
        <f t="shared" ref="F9:AB9" si="2">IF(E10&lt;1,(E10),(0))</f>
        <v>-17482.715416089544</v>
      </c>
      <c r="G9" s="38">
        <f t="shared" si="2"/>
        <v>-21273.764441177544</v>
      </c>
      <c r="H9" s="38">
        <f t="shared" si="2"/>
        <v>-17509.545513560908</v>
      </c>
      <c r="I9" s="38">
        <f t="shared" si="2"/>
        <v>-13658.487777312974</v>
      </c>
      <c r="J9" s="38">
        <f t="shared" si="2"/>
        <v>-9716.3621824533966</v>
      </c>
      <c r="K9" s="38">
        <f t="shared" si="2"/>
        <v>-5678.7337242677904</v>
      </c>
      <c r="L9" s="38">
        <f t="shared" si="2"/>
        <v>-1540.9514133121766</v>
      </c>
      <c r="M9" s="38">
        <f t="shared" si="2"/>
        <v>0</v>
      </c>
      <c r="N9" s="38">
        <f t="shared" si="2"/>
        <v>0</v>
      </c>
      <c r="O9" s="38">
        <f t="shared" si="2"/>
        <v>0</v>
      </c>
      <c r="P9" s="38">
        <f t="shared" si="2"/>
        <v>0</v>
      </c>
      <c r="Q9" s="38">
        <f t="shared" si="2"/>
        <v>0</v>
      </c>
      <c r="R9" s="38">
        <f t="shared" si="2"/>
        <v>0</v>
      </c>
      <c r="S9" s="38">
        <f t="shared" si="2"/>
        <v>0</v>
      </c>
      <c r="T9" s="38">
        <f t="shared" si="2"/>
        <v>0</v>
      </c>
      <c r="U9" s="38">
        <f t="shared" si="2"/>
        <v>0</v>
      </c>
      <c r="V9" s="38">
        <f t="shared" si="2"/>
        <v>0</v>
      </c>
      <c r="W9" s="38">
        <f t="shared" si="2"/>
        <v>0</v>
      </c>
      <c r="X9" s="38">
        <f t="shared" si="2"/>
        <v>0</v>
      </c>
      <c r="Y9" s="38">
        <f t="shared" si="2"/>
        <v>0</v>
      </c>
      <c r="Z9" s="38">
        <f t="shared" si="2"/>
        <v>0</v>
      </c>
      <c r="AA9" s="38">
        <f t="shared" si="2"/>
        <v>0</v>
      </c>
      <c r="AB9" s="38">
        <f t="shared" si="2"/>
        <v>0</v>
      </c>
    </row>
    <row r="10" spans="1:28" x14ac:dyDescent="0.25">
      <c r="A10" s="37" t="s">
        <v>110</v>
      </c>
      <c r="B10" s="17" t="s">
        <v>118</v>
      </c>
      <c r="C10" s="39"/>
      <c r="D10" s="39">
        <f>SUM(D4:D9)</f>
        <v>-8750.8219884801547</v>
      </c>
      <c r="E10" s="39">
        <f t="shared" ref="E10:AB10" si="3">SUM(E4:E9)</f>
        <v>-17482.715416089544</v>
      </c>
      <c r="F10" s="39">
        <f t="shared" si="3"/>
        <v>-21273.764441177544</v>
      </c>
      <c r="G10" s="39">
        <f t="shared" si="3"/>
        <v>-17509.545513560908</v>
      </c>
      <c r="H10" s="39">
        <f t="shared" si="3"/>
        <v>-13658.487777312974</v>
      </c>
      <c r="I10" s="39">
        <f t="shared" si="3"/>
        <v>-9716.3621824533966</v>
      </c>
      <c r="J10" s="39">
        <f t="shared" si="3"/>
        <v>-5678.7337242677904</v>
      </c>
      <c r="K10" s="39">
        <f t="shared" si="3"/>
        <v>-1540.9514133121766</v>
      </c>
      <c r="L10" s="39">
        <f t="shared" si="3"/>
        <v>2701.8622430433443</v>
      </c>
      <c r="M10" s="39">
        <f t="shared" si="3"/>
        <v>4352.9600282764031</v>
      </c>
      <c r="N10" s="39">
        <f t="shared" si="3"/>
        <v>4468.4705285098325</v>
      </c>
      <c r="O10" s="39">
        <f t="shared" si="3"/>
        <v>4589.6063901046291</v>
      </c>
      <c r="P10" s="39">
        <f t="shared" si="3"/>
        <v>4716.6415681590934</v>
      </c>
      <c r="Q10" s="39">
        <f t="shared" si="3"/>
        <v>4846.9168961302012</v>
      </c>
      <c r="R10" s="39">
        <f t="shared" si="3"/>
        <v>4846.5684321420376</v>
      </c>
      <c r="S10" s="39">
        <f t="shared" si="3"/>
        <v>4846.2199681538741</v>
      </c>
      <c r="T10" s="39">
        <f t="shared" si="3"/>
        <v>4845.8715041657106</v>
      </c>
      <c r="U10" s="39">
        <f t="shared" si="3"/>
        <v>4845.523040177547</v>
      </c>
      <c r="V10" s="39">
        <f t="shared" si="3"/>
        <v>4845.1745761893835</v>
      </c>
      <c r="W10" s="39">
        <f t="shared" si="3"/>
        <v>4844.82611220122</v>
      </c>
      <c r="X10" s="39">
        <f t="shared" si="3"/>
        <v>4844.4776482130565</v>
      </c>
      <c r="Y10" s="39">
        <f t="shared" si="3"/>
        <v>4844.1291842248929</v>
      </c>
      <c r="Z10" s="39">
        <f t="shared" si="3"/>
        <v>4843.7807202367294</v>
      </c>
      <c r="AA10" s="39">
        <f t="shared" si="3"/>
        <v>4843.4322562485659</v>
      </c>
      <c r="AB10" s="39">
        <f t="shared" si="3"/>
        <v>5797.4295906384414</v>
      </c>
    </row>
    <row r="11" spans="1:28" x14ac:dyDescent="0.25">
      <c r="A11" s="37" t="s">
        <v>108</v>
      </c>
      <c r="B11" s="15" t="s">
        <v>119</v>
      </c>
      <c r="C11" s="38"/>
      <c r="D11" s="38">
        <f>IF(D10&gt;0,(-D10*0.27),(0))</f>
        <v>0</v>
      </c>
      <c r="E11" s="38">
        <f t="shared" ref="E11:AB11" si="4">IF(E10&gt;0,(-E10*0.27),(0))</f>
        <v>0</v>
      </c>
      <c r="F11" s="38">
        <f t="shared" si="4"/>
        <v>0</v>
      </c>
      <c r="G11" s="38">
        <f t="shared" si="4"/>
        <v>0</v>
      </c>
      <c r="H11" s="38">
        <f t="shared" si="4"/>
        <v>0</v>
      </c>
      <c r="I11" s="38">
        <f t="shared" si="4"/>
        <v>0</v>
      </c>
      <c r="J11" s="38">
        <f t="shared" si="4"/>
        <v>0</v>
      </c>
      <c r="K11" s="38">
        <f t="shared" si="4"/>
        <v>0</v>
      </c>
      <c r="L11" s="38">
        <f t="shared" si="4"/>
        <v>-729.50280562170303</v>
      </c>
      <c r="M11" s="38">
        <f t="shared" si="4"/>
        <v>-1175.2992076346288</v>
      </c>
      <c r="N11" s="38">
        <f t="shared" si="4"/>
        <v>-1206.4870426976549</v>
      </c>
      <c r="O11" s="38">
        <f t="shared" si="4"/>
        <v>-1239.1937253282499</v>
      </c>
      <c r="P11" s="38">
        <f t="shared" si="4"/>
        <v>-1273.4932234029552</v>
      </c>
      <c r="Q11" s="38">
        <f t="shared" si="4"/>
        <v>-1308.6675619551545</v>
      </c>
      <c r="R11" s="38">
        <f t="shared" si="4"/>
        <v>-1308.5734766783503</v>
      </c>
      <c r="S11" s="38">
        <f t="shared" si="4"/>
        <v>-1308.4793914015461</v>
      </c>
      <c r="T11" s="38">
        <f t="shared" si="4"/>
        <v>-1308.3853061247419</v>
      </c>
      <c r="U11" s="38">
        <f t="shared" si="4"/>
        <v>-1308.2912208479379</v>
      </c>
      <c r="V11" s="38">
        <f t="shared" si="4"/>
        <v>-1308.1971355711337</v>
      </c>
      <c r="W11" s="38">
        <f t="shared" si="4"/>
        <v>-1308.1030502943295</v>
      </c>
      <c r="X11" s="38">
        <f t="shared" si="4"/>
        <v>-1308.0089650175253</v>
      </c>
      <c r="Y11" s="38">
        <f t="shared" si="4"/>
        <v>-1307.9148797407211</v>
      </c>
      <c r="Z11" s="38">
        <f t="shared" si="4"/>
        <v>-1307.8207944639171</v>
      </c>
      <c r="AA11" s="38">
        <f t="shared" si="4"/>
        <v>-1307.7267091871129</v>
      </c>
      <c r="AB11" s="38">
        <f t="shared" si="4"/>
        <v>-1565.3059894723792</v>
      </c>
    </row>
    <row r="12" spans="1:28" x14ac:dyDescent="0.25">
      <c r="A12" s="37" t="s">
        <v>110</v>
      </c>
      <c r="B12" s="17" t="s">
        <v>120</v>
      </c>
      <c r="C12" s="39"/>
      <c r="D12" s="39">
        <f>SUM(D10:D11)</f>
        <v>-8750.8219884801547</v>
      </c>
      <c r="E12" s="39">
        <f t="shared" ref="E12:AB12" si="5">SUM(E10:E11)</f>
        <v>-17482.715416089544</v>
      </c>
      <c r="F12" s="39">
        <f t="shared" si="5"/>
        <v>-21273.764441177544</v>
      </c>
      <c r="G12" s="39">
        <f t="shared" si="5"/>
        <v>-17509.545513560908</v>
      </c>
      <c r="H12" s="39">
        <f t="shared" si="5"/>
        <v>-13658.487777312974</v>
      </c>
      <c r="I12" s="39">
        <f t="shared" si="5"/>
        <v>-9716.3621824533966</v>
      </c>
      <c r="J12" s="39">
        <f t="shared" si="5"/>
        <v>-5678.7337242677904</v>
      </c>
      <c r="K12" s="39">
        <f t="shared" si="5"/>
        <v>-1540.9514133121766</v>
      </c>
      <c r="L12" s="39">
        <f t="shared" si="5"/>
        <v>1972.3594374216414</v>
      </c>
      <c r="M12" s="39">
        <f t="shared" si="5"/>
        <v>3177.6608206417741</v>
      </c>
      <c r="N12" s="39">
        <f t="shared" si="5"/>
        <v>3261.9834858121776</v>
      </c>
      <c r="O12" s="39">
        <f t="shared" si="5"/>
        <v>3350.4126647763792</v>
      </c>
      <c r="P12" s="39">
        <f t="shared" si="5"/>
        <v>3443.1483447561382</v>
      </c>
      <c r="Q12" s="39">
        <f t="shared" si="5"/>
        <v>3538.2493341750469</v>
      </c>
      <c r="R12" s="39">
        <f t="shared" si="5"/>
        <v>3537.9949554636873</v>
      </c>
      <c r="S12" s="39">
        <f t="shared" si="5"/>
        <v>3537.7405767523278</v>
      </c>
      <c r="T12" s="39">
        <f t="shared" si="5"/>
        <v>3537.4861980409687</v>
      </c>
      <c r="U12" s="39">
        <f t="shared" si="5"/>
        <v>3537.2318193296092</v>
      </c>
      <c r="V12" s="39">
        <f t="shared" si="5"/>
        <v>3536.9774406182496</v>
      </c>
      <c r="W12" s="39">
        <f t="shared" si="5"/>
        <v>3536.7230619068905</v>
      </c>
      <c r="X12" s="39">
        <f t="shared" si="5"/>
        <v>3536.4686831955314</v>
      </c>
      <c r="Y12" s="39">
        <f t="shared" si="5"/>
        <v>3536.2143044841719</v>
      </c>
      <c r="Z12" s="39">
        <f t="shared" si="5"/>
        <v>3535.9599257728123</v>
      </c>
      <c r="AA12" s="39">
        <f t="shared" si="5"/>
        <v>3535.7055470614532</v>
      </c>
      <c r="AB12" s="39">
        <f t="shared" si="5"/>
        <v>4232.1236011660621</v>
      </c>
    </row>
    <row r="13" spans="1:28" x14ac:dyDescent="0.25">
      <c r="A13" s="37" t="s">
        <v>106</v>
      </c>
      <c r="B13" s="15" t="s">
        <v>117</v>
      </c>
      <c r="C13" s="38"/>
      <c r="D13" s="38"/>
      <c r="E13" s="38">
        <f t="shared" ref="E13:AB13" si="6">-E9</f>
        <v>8750.8219884801547</v>
      </c>
      <c r="F13" s="38">
        <f t="shared" si="6"/>
        <v>17482.715416089544</v>
      </c>
      <c r="G13" s="38">
        <f t="shared" si="6"/>
        <v>21273.764441177544</v>
      </c>
      <c r="H13" s="38">
        <f t="shared" si="6"/>
        <v>17509.545513560908</v>
      </c>
      <c r="I13" s="38">
        <f t="shared" si="6"/>
        <v>13658.487777312974</v>
      </c>
      <c r="J13" s="38">
        <f t="shared" si="6"/>
        <v>9716.3621824533966</v>
      </c>
      <c r="K13" s="38">
        <f t="shared" si="6"/>
        <v>5678.7337242677904</v>
      </c>
      <c r="L13" s="38">
        <f t="shared" si="6"/>
        <v>1540.9514133121766</v>
      </c>
      <c r="M13" s="38">
        <f t="shared" si="6"/>
        <v>0</v>
      </c>
      <c r="N13" s="38">
        <f t="shared" si="6"/>
        <v>0</v>
      </c>
      <c r="O13" s="38">
        <f t="shared" si="6"/>
        <v>0</v>
      </c>
      <c r="P13" s="38">
        <f t="shared" si="6"/>
        <v>0</v>
      </c>
      <c r="Q13" s="38">
        <f t="shared" si="6"/>
        <v>0</v>
      </c>
      <c r="R13" s="38">
        <f t="shared" si="6"/>
        <v>0</v>
      </c>
      <c r="S13" s="38">
        <f t="shared" si="6"/>
        <v>0</v>
      </c>
      <c r="T13" s="38">
        <f t="shared" si="6"/>
        <v>0</v>
      </c>
      <c r="U13" s="38">
        <f t="shared" si="6"/>
        <v>0</v>
      </c>
      <c r="V13" s="38">
        <f t="shared" si="6"/>
        <v>0</v>
      </c>
      <c r="W13" s="38">
        <f t="shared" si="6"/>
        <v>0</v>
      </c>
      <c r="X13" s="38">
        <f t="shared" si="6"/>
        <v>0</v>
      </c>
      <c r="Y13" s="38">
        <f t="shared" si="6"/>
        <v>0</v>
      </c>
      <c r="Z13" s="38">
        <f t="shared" si="6"/>
        <v>0</v>
      </c>
      <c r="AA13" s="38">
        <f t="shared" si="6"/>
        <v>0</v>
      </c>
      <c r="AB13" s="38">
        <f t="shared" si="6"/>
        <v>0</v>
      </c>
    </row>
    <row r="14" spans="1:28" x14ac:dyDescent="0.25">
      <c r="A14" s="37" t="s">
        <v>106</v>
      </c>
      <c r="B14" s="41" t="s">
        <v>114</v>
      </c>
      <c r="C14" s="38"/>
      <c r="D14" s="38">
        <f>-D7</f>
        <v>6499.2540052194581</v>
      </c>
      <c r="E14" s="38">
        <f>-E7</f>
        <v>6499.2540052194581</v>
      </c>
      <c r="F14" s="38">
        <f>-F7</f>
        <v>6233.4468075563973</v>
      </c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</row>
    <row r="15" spans="1:28" x14ac:dyDescent="0.25">
      <c r="A15" s="37" t="s">
        <v>108</v>
      </c>
      <c r="B15" s="41" t="s">
        <v>121</v>
      </c>
      <c r="C15" s="38"/>
      <c r="D15" s="38">
        <f>-'amortizacion 75%'!E7</f>
        <v>-3377.9319334264183</v>
      </c>
      <c r="E15" s="38">
        <f>-'amortizacion 75%'!E8</f>
        <v>-3542.4372185842849</v>
      </c>
      <c r="F15" s="38">
        <f>-'amortizacion 75%'!E9</f>
        <v>-3714.9539111293398</v>
      </c>
      <c r="G15" s="38">
        <f>-'amortizacion 75%'!E10</f>
        <v>-3895.8721666013384</v>
      </c>
      <c r="H15" s="38">
        <f>-'amortizacion 75%'!E11</f>
        <v>-4085.6011411148238</v>
      </c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</row>
    <row r="16" spans="1:28" x14ac:dyDescent="0.25">
      <c r="A16" s="37" t="s">
        <v>108</v>
      </c>
      <c r="B16" s="41" t="s">
        <v>122</v>
      </c>
      <c r="C16" s="38"/>
      <c r="D16" s="38"/>
      <c r="E16" s="38">
        <f>-'amortizacion 75%'!E20</f>
        <v>-5629.5015254024802</v>
      </c>
      <c r="F16" s="38">
        <f>-'amortizacion 75%'!E29</f>
        <v>-11404.576563459776</v>
      </c>
      <c r="G16" s="38">
        <f>-'amortizacion 75%'!E38</f>
        <v>-14322.071012513841</v>
      </c>
      <c r="H16" s="38">
        <f>-'amortizacion 75%'!E47</f>
        <v>-16427.650106846966</v>
      </c>
      <c r="I16" s="38">
        <f>-'amortizacion 75%'!E56</f>
        <v>-18636.119367062282</v>
      </c>
      <c r="J16" s="38">
        <f>-'amortizacion 75%'!E65</f>
        <v>-16667.919627551124</v>
      </c>
      <c r="K16" s="38">
        <f>-'amortizacion 75%'!E74</f>
        <v>-14604.217024713937</v>
      </c>
      <c r="L16" s="38">
        <f>-'amortizacion 75%'!E83</f>
        <v>-12440.360569106741</v>
      </c>
      <c r="M16" s="38">
        <f>-'amortizacion 75%'!E92</f>
        <v>-10171.47276809964</v>
      </c>
      <c r="N16" s="38">
        <f>-'amortizacion 75%'!E101</f>
        <v>-7792.4385951716558</v>
      </c>
      <c r="O16" s="38">
        <f>-'amortizacion 75%'!E110</f>
        <v>-5297.893922010242</v>
      </c>
      <c r="P16" s="38">
        <f>-'amortizacion 75%'!E119</f>
        <v>-2682.2133872540294</v>
      </c>
      <c r="Q16" s="38">
        <f>-'amortizacion 75%'!E128</f>
        <v>0</v>
      </c>
      <c r="R16" s="38">
        <f>-'amortizacion 75%'!E137</f>
        <v>0</v>
      </c>
      <c r="S16" s="38">
        <f>-'amortizacion 75%'!E146</f>
        <v>0</v>
      </c>
      <c r="T16" s="38">
        <f>-'amortizacion 75%'!E155</f>
        <v>0</v>
      </c>
      <c r="U16" s="38">
        <f>-'amortizacion 75%'!E164</f>
        <v>0</v>
      </c>
      <c r="V16" s="38">
        <f>-'amortizacion 75%'!E173</f>
        <v>0</v>
      </c>
      <c r="W16" s="38">
        <f>-'amortizacion 75%'!E182</f>
        <v>0</v>
      </c>
      <c r="X16" s="38">
        <f>-'amortizacion 75%'!E191</f>
        <v>0</v>
      </c>
      <c r="Y16" s="38">
        <f>-'amortizacion 75%'!E200</f>
        <v>0</v>
      </c>
      <c r="Z16" s="38">
        <f>-'amortizacion 75%'!E209</f>
        <v>0</v>
      </c>
      <c r="AA16" s="38">
        <f>-'amortizacion 75%'!E218</f>
        <v>0</v>
      </c>
      <c r="AB16" s="38">
        <f>-'amortizacion 75%'!E227</f>
        <v>0</v>
      </c>
    </row>
    <row r="17" spans="1:28" x14ac:dyDescent="0.25">
      <c r="A17" s="37" t="s">
        <v>106</v>
      </c>
      <c r="B17" s="41" t="s">
        <v>123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>
        <f>Inversiones!C21*2+Inversiones!F12/2+Inversiones!E17/2+Inversiones!C22/3</f>
        <v>2989.7048637790385</v>
      </c>
    </row>
    <row r="18" spans="1:28" x14ac:dyDescent="0.25">
      <c r="A18" s="37" t="s">
        <v>108</v>
      </c>
      <c r="B18" s="41" t="s">
        <v>124</v>
      </c>
      <c r="C18" s="38">
        <f>'capital de trabajo meses'!C8</f>
        <v>-2774.7200062816437</v>
      </c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>
        <f>-C18</f>
        <v>2774.7200062816437</v>
      </c>
    </row>
    <row r="19" spans="1:28" x14ac:dyDescent="0.25">
      <c r="A19" s="37" t="s">
        <v>108</v>
      </c>
      <c r="B19" s="41" t="s">
        <v>125</v>
      </c>
      <c r="C19" s="38">
        <f>-'gastos de personal'!I27</f>
        <v>-49.242003709747621</v>
      </c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</row>
    <row r="20" spans="1:28" x14ac:dyDescent="0.25">
      <c r="A20" s="37" t="s">
        <v>108</v>
      </c>
      <c r="B20" s="41" t="s">
        <v>126</v>
      </c>
      <c r="C20" s="38">
        <f>C37</f>
        <v>-19998.580000000002</v>
      </c>
      <c r="D20" s="38"/>
      <c r="E20" s="38" t="s">
        <v>127</v>
      </c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</row>
    <row r="21" spans="1:28" x14ac:dyDescent="0.25">
      <c r="A21" s="37" t="s">
        <v>108</v>
      </c>
      <c r="B21" s="41" t="s">
        <v>128</v>
      </c>
      <c r="C21" s="38">
        <f>C20*0.1</f>
        <v>-1999.8580000000002</v>
      </c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</row>
    <row r="22" spans="1:28" x14ac:dyDescent="0.25">
      <c r="A22" s="37" t="s">
        <v>110</v>
      </c>
      <c r="B22" s="17" t="s">
        <v>129</v>
      </c>
      <c r="C22" s="39">
        <f>SUM(C18:C21)</f>
        <v>-24822.400009991394</v>
      </c>
      <c r="D22" s="39">
        <f>SUM(D12:D21)</f>
        <v>-5629.4999166871148</v>
      </c>
      <c r="E22" s="39">
        <f t="shared" ref="E22:AB22" si="7">SUM(E12:E21)</f>
        <v>-11404.578166376697</v>
      </c>
      <c r="F22" s="39">
        <f t="shared" si="7"/>
        <v>-12677.132692120718</v>
      </c>
      <c r="G22" s="39">
        <f t="shared" si="7"/>
        <v>-14453.724251498545</v>
      </c>
      <c r="H22" s="39">
        <f t="shared" si="7"/>
        <v>-16662.193511713856</v>
      </c>
      <c r="I22" s="39">
        <f t="shared" si="7"/>
        <v>-14693.993772202704</v>
      </c>
      <c r="J22" s="39">
        <f t="shared" si="7"/>
        <v>-12630.291169365519</v>
      </c>
      <c r="K22" s="39">
        <f t="shared" si="7"/>
        <v>-10466.434713758323</v>
      </c>
      <c r="L22" s="39">
        <f t="shared" si="7"/>
        <v>-8927.0497183729221</v>
      </c>
      <c r="M22" s="39">
        <f t="shared" si="7"/>
        <v>-6993.8119474578662</v>
      </c>
      <c r="N22" s="39">
        <f t="shared" si="7"/>
        <v>-4530.4551093594782</v>
      </c>
      <c r="O22" s="39">
        <f t="shared" si="7"/>
        <v>-1947.4812572338628</v>
      </c>
      <c r="P22" s="39">
        <f t="shared" si="7"/>
        <v>760.93495750210877</v>
      </c>
      <c r="Q22" s="39">
        <f t="shared" si="7"/>
        <v>3538.2493341750469</v>
      </c>
      <c r="R22" s="39">
        <f t="shared" si="7"/>
        <v>3537.9949554636873</v>
      </c>
      <c r="S22" s="39">
        <f t="shared" si="7"/>
        <v>3537.7405767523278</v>
      </c>
      <c r="T22" s="39">
        <f t="shared" si="7"/>
        <v>3537.4861980409687</v>
      </c>
      <c r="U22" s="39">
        <f t="shared" si="7"/>
        <v>3537.2318193296092</v>
      </c>
      <c r="V22" s="39">
        <f t="shared" si="7"/>
        <v>3536.9774406182496</v>
      </c>
      <c r="W22" s="39">
        <f t="shared" si="7"/>
        <v>3536.7230619068905</v>
      </c>
      <c r="X22" s="39">
        <f t="shared" si="7"/>
        <v>3536.4686831955314</v>
      </c>
      <c r="Y22" s="39">
        <f t="shared" si="7"/>
        <v>3536.2143044841719</v>
      </c>
      <c r="Z22" s="39">
        <f t="shared" si="7"/>
        <v>3535.9599257728123</v>
      </c>
      <c r="AA22" s="39">
        <f t="shared" si="7"/>
        <v>3535.7055470614532</v>
      </c>
      <c r="AB22" s="39">
        <f t="shared" si="7"/>
        <v>9996.5484712267444</v>
      </c>
    </row>
    <row r="23" spans="1:28" x14ac:dyDescent="0.25">
      <c r="A23" s="37" t="s">
        <v>106</v>
      </c>
      <c r="B23" s="41" t="s">
        <v>130</v>
      </c>
      <c r="C23" s="38">
        <f>-(C22/4)*3</f>
        <v>18616.800007493544</v>
      </c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</row>
    <row r="24" spans="1:28" x14ac:dyDescent="0.25">
      <c r="A24" s="37" t="s">
        <v>106</v>
      </c>
      <c r="B24" s="41" t="s">
        <v>131</v>
      </c>
      <c r="C24" s="38"/>
      <c r="D24" s="38">
        <f>IF(D22&lt;1,(-D22),(0))</f>
        <v>5629.4999166871148</v>
      </c>
      <c r="E24" s="38">
        <f t="shared" ref="E24:AB24" si="8">IF(E22&lt;1,(-E22),(0))</f>
        <v>11404.578166376697</v>
      </c>
      <c r="F24" s="38">
        <f t="shared" si="8"/>
        <v>12677.132692120718</v>
      </c>
      <c r="G24" s="38">
        <f t="shared" si="8"/>
        <v>14453.724251498545</v>
      </c>
      <c r="H24" s="38">
        <f t="shared" si="8"/>
        <v>16662.193511713856</v>
      </c>
      <c r="I24" s="38">
        <f t="shared" si="8"/>
        <v>14693.993772202704</v>
      </c>
      <c r="J24" s="38">
        <f t="shared" si="8"/>
        <v>12630.291169365519</v>
      </c>
      <c r="K24" s="38">
        <f t="shared" si="8"/>
        <v>10466.434713758323</v>
      </c>
      <c r="L24" s="38">
        <f t="shared" si="8"/>
        <v>8927.0497183729221</v>
      </c>
      <c r="M24" s="38">
        <f t="shared" si="8"/>
        <v>6993.8119474578662</v>
      </c>
      <c r="N24" s="38">
        <f t="shared" si="8"/>
        <v>4530.4551093594782</v>
      </c>
      <c r="O24" s="38">
        <f t="shared" si="8"/>
        <v>1947.4812572338628</v>
      </c>
      <c r="P24" s="38">
        <f t="shared" si="8"/>
        <v>0</v>
      </c>
      <c r="Q24" s="38">
        <f t="shared" si="8"/>
        <v>0</v>
      </c>
      <c r="R24" s="38">
        <f t="shared" si="8"/>
        <v>0</v>
      </c>
      <c r="S24" s="38">
        <f t="shared" si="8"/>
        <v>0</v>
      </c>
      <c r="T24" s="38">
        <f t="shared" si="8"/>
        <v>0</v>
      </c>
      <c r="U24" s="38">
        <f t="shared" si="8"/>
        <v>0</v>
      </c>
      <c r="V24" s="38">
        <f t="shared" si="8"/>
        <v>0</v>
      </c>
      <c r="W24" s="38">
        <f t="shared" si="8"/>
        <v>0</v>
      </c>
      <c r="X24" s="38">
        <f t="shared" si="8"/>
        <v>0</v>
      </c>
      <c r="Y24" s="38">
        <f t="shared" si="8"/>
        <v>0</v>
      </c>
      <c r="Z24" s="38">
        <f t="shared" si="8"/>
        <v>0</v>
      </c>
      <c r="AA24" s="38">
        <f t="shared" si="8"/>
        <v>0</v>
      </c>
      <c r="AB24" s="38">
        <f t="shared" si="8"/>
        <v>0</v>
      </c>
    </row>
    <row r="25" spans="1:28" x14ac:dyDescent="0.25">
      <c r="A25" s="37" t="s">
        <v>110</v>
      </c>
      <c r="B25" s="17" t="s">
        <v>132</v>
      </c>
      <c r="C25" s="39">
        <f>SUM(C22:C24)</f>
        <v>-6205.6000024978493</v>
      </c>
      <c r="D25" s="39">
        <f t="shared" ref="D25:AB25" si="9">SUM(D22:D24)</f>
        <v>0</v>
      </c>
      <c r="E25" s="39">
        <f t="shared" si="9"/>
        <v>0</v>
      </c>
      <c r="F25" s="39">
        <f t="shared" si="9"/>
        <v>0</v>
      </c>
      <c r="G25" s="39">
        <f t="shared" si="9"/>
        <v>0</v>
      </c>
      <c r="H25" s="39">
        <f t="shared" si="9"/>
        <v>0</v>
      </c>
      <c r="I25" s="39">
        <f t="shared" si="9"/>
        <v>0</v>
      </c>
      <c r="J25" s="39">
        <f t="shared" si="9"/>
        <v>0</v>
      </c>
      <c r="K25" s="39">
        <f t="shared" si="9"/>
        <v>0</v>
      </c>
      <c r="L25" s="39">
        <f t="shared" si="9"/>
        <v>0</v>
      </c>
      <c r="M25" s="39">
        <f t="shared" si="9"/>
        <v>0</v>
      </c>
      <c r="N25" s="39">
        <f t="shared" si="9"/>
        <v>0</v>
      </c>
      <c r="O25" s="39">
        <f t="shared" si="9"/>
        <v>0</v>
      </c>
      <c r="P25" s="39">
        <f t="shared" si="9"/>
        <v>760.93495750210877</v>
      </c>
      <c r="Q25" s="39">
        <f t="shared" si="9"/>
        <v>3538.2493341750469</v>
      </c>
      <c r="R25" s="39">
        <f t="shared" si="9"/>
        <v>3537.9949554636873</v>
      </c>
      <c r="S25" s="39">
        <f t="shared" si="9"/>
        <v>3537.7405767523278</v>
      </c>
      <c r="T25" s="39">
        <f t="shared" si="9"/>
        <v>3537.4861980409687</v>
      </c>
      <c r="U25" s="39">
        <f t="shared" si="9"/>
        <v>3537.2318193296092</v>
      </c>
      <c r="V25" s="39">
        <f t="shared" si="9"/>
        <v>3536.9774406182496</v>
      </c>
      <c r="W25" s="39">
        <f t="shared" si="9"/>
        <v>3536.7230619068905</v>
      </c>
      <c r="X25" s="39">
        <f t="shared" si="9"/>
        <v>3536.4686831955314</v>
      </c>
      <c r="Y25" s="39">
        <f t="shared" si="9"/>
        <v>3536.2143044841719</v>
      </c>
      <c r="Z25" s="39">
        <f t="shared" si="9"/>
        <v>3535.9599257728123</v>
      </c>
      <c r="AA25" s="39">
        <f t="shared" si="9"/>
        <v>3535.7055470614532</v>
      </c>
      <c r="AB25" s="39">
        <f t="shared" si="9"/>
        <v>9996.5484712267444</v>
      </c>
    </row>
    <row r="26" spans="1:28" x14ac:dyDescent="0.25">
      <c r="A26" s="15"/>
      <c r="B26" s="41" t="s">
        <v>133</v>
      </c>
      <c r="C26" s="25">
        <f>C25</f>
        <v>-6205.6000024978493</v>
      </c>
      <c r="D26" s="38">
        <f>D25/(1+0.1)^D1</f>
        <v>0</v>
      </c>
      <c r="E26" s="38">
        <f t="shared" ref="E26:AB26" si="10">E25/(1+0.1)^E1</f>
        <v>0</v>
      </c>
      <c r="F26" s="38">
        <f t="shared" si="10"/>
        <v>0</v>
      </c>
      <c r="G26" s="38">
        <f t="shared" si="10"/>
        <v>0</v>
      </c>
      <c r="H26" s="38">
        <f t="shared" si="10"/>
        <v>0</v>
      </c>
      <c r="I26" s="38">
        <f t="shared" si="10"/>
        <v>0</v>
      </c>
      <c r="J26" s="38">
        <f t="shared" si="10"/>
        <v>0</v>
      </c>
      <c r="K26" s="38">
        <f t="shared" si="10"/>
        <v>0</v>
      </c>
      <c r="L26" s="38">
        <f t="shared" si="10"/>
        <v>0</v>
      </c>
      <c r="M26" s="38">
        <f t="shared" si="10"/>
        <v>0</v>
      </c>
      <c r="N26" s="38">
        <f t="shared" si="10"/>
        <v>0</v>
      </c>
      <c r="O26" s="38">
        <f t="shared" si="10"/>
        <v>0</v>
      </c>
      <c r="P26" s="38">
        <f t="shared" si="10"/>
        <v>220.41575248481121</v>
      </c>
      <c r="Q26" s="38">
        <f t="shared" si="10"/>
        <v>931.73163521596655</v>
      </c>
      <c r="R26" s="38">
        <f t="shared" si="10"/>
        <v>846.96786304621412</v>
      </c>
      <c r="S26" s="38">
        <f t="shared" si="10"/>
        <v>769.91542436835073</v>
      </c>
      <c r="T26" s="38">
        <f t="shared" si="10"/>
        <v>699.87278559021297</v>
      </c>
      <c r="U26" s="38">
        <f t="shared" si="10"/>
        <v>636.20223465298977</v>
      </c>
      <c r="V26" s="38">
        <f t="shared" si="10"/>
        <v>578.32407491435072</v>
      </c>
      <c r="W26" s="38">
        <f t="shared" si="10"/>
        <v>525.71134723849764</v>
      </c>
      <c r="X26" s="38">
        <f t="shared" si="10"/>
        <v>477.88503223995366</v>
      </c>
      <c r="Y26" s="38">
        <f t="shared" si="10"/>
        <v>434.40968899950445</v>
      </c>
      <c r="Z26" s="38">
        <f t="shared" si="10"/>
        <v>394.88949054459187</v>
      </c>
      <c r="AA26" s="38">
        <f t="shared" si="10"/>
        <v>358.96461999884116</v>
      </c>
      <c r="AB26" s="38">
        <f t="shared" si="10"/>
        <v>922.64141947727603</v>
      </c>
    </row>
    <row r="27" spans="1:28" x14ac:dyDescent="0.25">
      <c r="A27" s="15"/>
      <c r="B27" s="41" t="s">
        <v>134</v>
      </c>
      <c r="C27" s="25">
        <f>C25</f>
        <v>-6205.6000024978493</v>
      </c>
      <c r="D27" s="38">
        <f>D26+C27</f>
        <v>-6205.6000024978493</v>
      </c>
      <c r="E27" s="38">
        <f t="shared" ref="E27:AB27" si="11">E26+D27</f>
        <v>-6205.6000024978493</v>
      </c>
      <c r="F27" s="38">
        <f t="shared" si="11"/>
        <v>-6205.6000024978493</v>
      </c>
      <c r="G27" s="38">
        <f t="shared" si="11"/>
        <v>-6205.6000024978493</v>
      </c>
      <c r="H27" s="38">
        <f t="shared" si="11"/>
        <v>-6205.6000024978493</v>
      </c>
      <c r="I27" s="38">
        <f t="shared" si="11"/>
        <v>-6205.6000024978493</v>
      </c>
      <c r="J27" s="38">
        <f t="shared" si="11"/>
        <v>-6205.6000024978493</v>
      </c>
      <c r="K27" s="38">
        <f t="shared" si="11"/>
        <v>-6205.6000024978493</v>
      </c>
      <c r="L27" s="38">
        <f t="shared" si="11"/>
        <v>-6205.6000024978493</v>
      </c>
      <c r="M27" s="38">
        <f t="shared" si="11"/>
        <v>-6205.6000024978493</v>
      </c>
      <c r="N27" s="38">
        <f t="shared" si="11"/>
        <v>-6205.6000024978493</v>
      </c>
      <c r="O27" s="38">
        <f t="shared" si="11"/>
        <v>-6205.6000024978493</v>
      </c>
      <c r="P27" s="38">
        <f t="shared" si="11"/>
        <v>-5985.1842500130379</v>
      </c>
      <c r="Q27" s="38">
        <f t="shared" si="11"/>
        <v>-5053.452614797071</v>
      </c>
      <c r="R27" s="38">
        <f t="shared" si="11"/>
        <v>-4206.484751750857</v>
      </c>
      <c r="S27" s="38">
        <f t="shared" si="11"/>
        <v>-3436.5693273825063</v>
      </c>
      <c r="T27" s="38">
        <f t="shared" si="11"/>
        <v>-2736.6965417922934</v>
      </c>
      <c r="U27" s="38">
        <f t="shared" si="11"/>
        <v>-2100.4943071393036</v>
      </c>
      <c r="V27" s="38">
        <f t="shared" si="11"/>
        <v>-1522.170232224953</v>
      </c>
      <c r="W27" s="38">
        <f t="shared" si="11"/>
        <v>-996.45888498645536</v>
      </c>
      <c r="X27" s="38">
        <f t="shared" si="11"/>
        <v>-518.57385274650164</v>
      </c>
      <c r="Y27" s="38">
        <f t="shared" si="11"/>
        <v>-84.16416374699719</v>
      </c>
      <c r="Z27" s="38">
        <f t="shared" si="11"/>
        <v>310.72532679759468</v>
      </c>
      <c r="AA27" s="38">
        <f t="shared" si="11"/>
        <v>669.68994679643583</v>
      </c>
      <c r="AB27" s="38">
        <f t="shared" si="11"/>
        <v>1592.3313662737119</v>
      </c>
    </row>
    <row r="29" spans="1:28" x14ac:dyDescent="0.25">
      <c r="B29" s="12" t="s">
        <v>135</v>
      </c>
      <c r="C29" s="87">
        <f>NPV(0.1,D25:AB25)+C25</f>
        <v>1592.331366273711</v>
      </c>
      <c r="E29" s="159" t="s">
        <v>136</v>
      </c>
      <c r="F29" s="159" t="s">
        <v>137</v>
      </c>
      <c r="G29" s="159" t="s">
        <v>138</v>
      </c>
      <c r="H29" s="159" t="s">
        <v>139</v>
      </c>
      <c r="I29" s="159" t="s">
        <v>140</v>
      </c>
    </row>
    <row r="30" spans="1:28" x14ac:dyDescent="0.25">
      <c r="B30" s="12" t="s">
        <v>139</v>
      </c>
      <c r="C30" s="88">
        <f>IRR(C25:AB25)</f>
        <v>0.11355052908605257</v>
      </c>
      <c r="E30" s="118">
        <v>1400</v>
      </c>
      <c r="F30" s="112">
        <f>(E30-$E$33)/$E$33</f>
        <v>-0.50864262525225934</v>
      </c>
      <c r="G30" s="92">
        <v>752.23</v>
      </c>
      <c r="H30" s="93">
        <v>0.11</v>
      </c>
      <c r="I30" s="46" t="s">
        <v>141</v>
      </c>
      <c r="J30" s="131"/>
      <c r="K30" s="131"/>
      <c r="L30" s="131"/>
    </row>
    <row r="31" spans="1:28" x14ac:dyDescent="0.25">
      <c r="B31" s="12" t="s">
        <v>140</v>
      </c>
      <c r="C31" s="99" t="s">
        <v>142</v>
      </c>
      <c r="E31" s="118">
        <v>1600</v>
      </c>
      <c r="F31" s="112">
        <f>(E31-$E$33)/$E$33</f>
        <v>-0.43844871457401069</v>
      </c>
      <c r="G31" s="118">
        <v>394.75</v>
      </c>
      <c r="H31" s="93">
        <v>0.1</v>
      </c>
      <c r="I31" s="46" t="s">
        <v>141</v>
      </c>
    </row>
    <row r="32" spans="1:28" x14ac:dyDescent="0.25">
      <c r="C32" s="89"/>
      <c r="E32" s="118">
        <v>1839.19</v>
      </c>
      <c r="F32" s="112">
        <f>(E32-$E$33)/$E$33</f>
        <v>-0.35450030709835922</v>
      </c>
      <c r="G32" s="118">
        <v>0</v>
      </c>
      <c r="H32" s="93">
        <v>0.1</v>
      </c>
      <c r="I32" s="46" t="s">
        <v>141</v>
      </c>
    </row>
    <row r="33" spans="1:13" x14ac:dyDescent="0.25">
      <c r="B33" s="85" t="s">
        <v>143</v>
      </c>
      <c r="C33" s="87">
        <f>C40</f>
        <v>-1344.93</v>
      </c>
      <c r="D33" s="86"/>
      <c r="E33" s="94">
        <v>2849.25</v>
      </c>
      <c r="F33" s="96">
        <f>(E33-$E$33)/$E$33</f>
        <v>0</v>
      </c>
      <c r="G33" s="94">
        <v>-1415.14</v>
      </c>
      <c r="H33" s="93">
        <v>0.09</v>
      </c>
      <c r="I33" s="46" t="s">
        <v>108</v>
      </c>
      <c r="M33" s="68"/>
    </row>
    <row r="34" spans="1:13" x14ac:dyDescent="0.25">
      <c r="B34" s="85" t="s">
        <v>144</v>
      </c>
      <c r="C34" s="87">
        <f>C39</f>
        <v>-1216.3499999999999</v>
      </c>
      <c r="D34" s="86"/>
      <c r="E34" s="155">
        <v>3500</v>
      </c>
      <c r="F34" s="112">
        <f>(E34-$E$33)/$E$33</f>
        <v>0.2283934368693516</v>
      </c>
      <c r="G34" s="155">
        <v>-2052.11</v>
      </c>
      <c r="H34" s="156">
        <v>0.08</v>
      </c>
      <c r="I34" s="157" t="s">
        <v>108</v>
      </c>
      <c r="M34" s="84"/>
    </row>
    <row r="35" spans="1:13" x14ac:dyDescent="0.25">
      <c r="B35" s="122" t="s">
        <v>145</v>
      </c>
      <c r="C35" s="134">
        <f>C38</f>
        <v>-2849.25</v>
      </c>
      <c r="E35" s="126"/>
      <c r="F35" s="130"/>
      <c r="G35" s="126"/>
      <c r="H35" s="128"/>
      <c r="I35" s="61"/>
    </row>
    <row r="36" spans="1:13" x14ac:dyDescent="0.25">
      <c r="A36" s="70"/>
      <c r="E36" s="123"/>
      <c r="F36" s="124"/>
      <c r="G36" s="123"/>
      <c r="H36" s="125"/>
      <c r="I36" s="58"/>
    </row>
    <row r="37" spans="1:13" x14ac:dyDescent="0.25">
      <c r="A37" s="70"/>
      <c r="B37" s="122" t="s">
        <v>146</v>
      </c>
      <c r="C37" s="26">
        <f>C46</f>
        <v>-19998.580000000002</v>
      </c>
    </row>
    <row r="38" spans="1:13" ht="31.9" customHeight="1" x14ac:dyDescent="0.25">
      <c r="B38" s="70" t="s">
        <v>147</v>
      </c>
      <c r="C38">
        <v>-2849.25</v>
      </c>
      <c r="E38" s="66" t="s">
        <v>148</v>
      </c>
      <c r="F38" s="56" t="s">
        <v>137</v>
      </c>
      <c r="G38" s="56" t="s">
        <v>138</v>
      </c>
      <c r="H38" s="56" t="s">
        <v>139</v>
      </c>
      <c r="I38" s="56" t="s">
        <v>140</v>
      </c>
    </row>
    <row r="39" spans="1:13" x14ac:dyDescent="0.25">
      <c r="B39">
        <v>2</v>
      </c>
      <c r="C39">
        <v>-1216.3499999999999</v>
      </c>
      <c r="E39" s="118">
        <v>13000</v>
      </c>
      <c r="F39" s="91">
        <f>(E39-$E$42)/$E$42</f>
        <v>-0.34995384672311741</v>
      </c>
      <c r="G39" s="118">
        <v>509.47</v>
      </c>
      <c r="H39" s="93">
        <v>0.11</v>
      </c>
      <c r="I39" s="43" t="s">
        <v>141</v>
      </c>
    </row>
    <row r="40" spans="1:13" x14ac:dyDescent="0.25">
      <c r="B40">
        <v>1</v>
      </c>
      <c r="C40">
        <v>-1344.93</v>
      </c>
      <c r="E40" s="118">
        <v>14000</v>
      </c>
      <c r="F40" s="91">
        <f>(E40-$E$42)/$E$42</f>
        <v>-0.29995029647104948</v>
      </c>
      <c r="G40" s="118">
        <v>234.47</v>
      </c>
      <c r="H40" s="93">
        <v>0.1</v>
      </c>
      <c r="I40" s="43" t="s">
        <v>141</v>
      </c>
    </row>
    <row r="41" spans="1:13" x14ac:dyDescent="0.25">
      <c r="B41" s="12" t="s">
        <v>149</v>
      </c>
      <c r="C41" s="18">
        <f>(C42/12)*10</f>
        <v>6416.6666666666661</v>
      </c>
      <c r="E41" s="38">
        <v>14852.62</v>
      </c>
      <c r="F41" s="91">
        <f>(E41-$E$42)/$E$42</f>
        <v>-0.25731626945513136</v>
      </c>
      <c r="G41" s="118">
        <v>0</v>
      </c>
      <c r="H41" s="93">
        <v>0.1</v>
      </c>
      <c r="I41" s="43" t="s">
        <v>141</v>
      </c>
    </row>
    <row r="42" spans="1:13" x14ac:dyDescent="0.25">
      <c r="B42" s="12" t="s">
        <v>150</v>
      </c>
      <c r="C42" s="18">
        <v>7700</v>
      </c>
      <c r="E42" s="94">
        <v>19998.580000000002</v>
      </c>
      <c r="F42" s="96">
        <f>(E42-$E$42)/$E$42</f>
        <v>0</v>
      </c>
      <c r="G42" s="94">
        <v>-1415.14</v>
      </c>
      <c r="H42" s="95">
        <v>0.09</v>
      </c>
      <c r="I42" s="97" t="s">
        <v>108</v>
      </c>
    </row>
    <row r="43" spans="1:13" x14ac:dyDescent="0.25">
      <c r="E43" s="118">
        <v>21000</v>
      </c>
      <c r="F43" s="91">
        <f>(E43-$E$42)/$E$42</f>
        <v>5.0074555293425742E-2</v>
      </c>
      <c r="G43" s="118">
        <v>-1690.53</v>
      </c>
      <c r="H43" s="93">
        <v>0.08</v>
      </c>
      <c r="I43" s="43" t="s">
        <v>108</v>
      </c>
    </row>
    <row r="44" spans="1:13" x14ac:dyDescent="0.25">
      <c r="C44">
        <v>5726.07</v>
      </c>
      <c r="E44" s="126"/>
      <c r="F44" s="127"/>
      <c r="G44" s="126"/>
      <c r="H44" s="128"/>
      <c r="I44" s="129"/>
    </row>
    <row r="46" spans="1:13" x14ac:dyDescent="0.25">
      <c r="B46" s="70" t="s">
        <v>151</v>
      </c>
      <c r="C46">
        <v>-19998.580000000002</v>
      </c>
      <c r="E46" s="66" t="s">
        <v>152</v>
      </c>
      <c r="F46" s="56" t="s">
        <v>137</v>
      </c>
      <c r="G46" s="56" t="s">
        <v>138</v>
      </c>
      <c r="H46" s="56" t="s">
        <v>139</v>
      </c>
      <c r="I46" s="56" t="s">
        <v>140</v>
      </c>
    </row>
    <row r="47" spans="1:13" x14ac:dyDescent="0.25">
      <c r="E47" s="118">
        <v>7700</v>
      </c>
      <c r="F47" s="112">
        <f>(E47-$E$50)/$E$50</f>
        <v>0.34472683708023139</v>
      </c>
      <c r="G47" s="118">
        <v>1592.33</v>
      </c>
      <c r="H47" s="93">
        <v>0.11</v>
      </c>
      <c r="I47" s="43" t="s">
        <v>153</v>
      </c>
    </row>
    <row r="48" spans="1:13" x14ac:dyDescent="0.25">
      <c r="E48" s="118">
        <v>7000</v>
      </c>
      <c r="F48" s="112">
        <f>(E48-$E$50)/$E$50</f>
        <v>0.22247894280021033</v>
      </c>
      <c r="G48" s="118">
        <v>435.76</v>
      </c>
      <c r="H48" s="93">
        <v>0.1</v>
      </c>
      <c r="I48" s="43" t="s">
        <v>141</v>
      </c>
    </row>
    <row r="49" spans="5:9" x14ac:dyDescent="0.25">
      <c r="E49" s="118">
        <v>6736.26</v>
      </c>
      <c r="F49" s="112">
        <f>(E49-$E$50)/$E$50</f>
        <v>0.17641942903247787</v>
      </c>
      <c r="G49" s="118">
        <v>0</v>
      </c>
      <c r="H49" s="93">
        <v>0.1</v>
      </c>
      <c r="I49" s="43" t="s">
        <v>141</v>
      </c>
    </row>
    <row r="50" spans="5:9" x14ac:dyDescent="0.25">
      <c r="E50" s="94">
        <v>5726.07</v>
      </c>
      <c r="F50" s="96">
        <f>(E50-$E$50)/$E$50</f>
        <v>0</v>
      </c>
      <c r="G50" s="94">
        <v>-1415.14</v>
      </c>
      <c r="H50" s="95">
        <v>0.1</v>
      </c>
      <c r="I50" s="97" t="s">
        <v>108</v>
      </c>
    </row>
    <row r="51" spans="5:9" x14ac:dyDescent="0.25">
      <c r="E51" s="118">
        <v>4900</v>
      </c>
      <c r="F51" s="112">
        <f>(E51-$E$50)/$E$50</f>
        <v>-0.14426474003985276</v>
      </c>
      <c r="G51" s="118">
        <v>-2300.91</v>
      </c>
      <c r="H51" s="93">
        <v>7.0000000000000007E-2</v>
      </c>
      <c r="I51" s="43" t="s">
        <v>108</v>
      </c>
    </row>
    <row r="52" spans="5:9" x14ac:dyDescent="0.25">
      <c r="E52" s="126"/>
      <c r="F52" s="130"/>
      <c r="G52" s="126"/>
      <c r="H52" s="128"/>
      <c r="I52" s="129"/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"/>
  <sheetViews>
    <sheetView workbookViewId="0">
      <selection activeCell="H15" sqref="H15"/>
    </sheetView>
  </sheetViews>
  <sheetFormatPr baseColWidth="10" defaultColWidth="11.42578125" defaultRowHeight="15" x14ac:dyDescent="0.25"/>
  <sheetData>
    <row r="1" spans="1:26" x14ac:dyDescent="0.25">
      <c r="A1" s="12" t="s">
        <v>154</v>
      </c>
      <c r="B1" s="12">
        <v>1</v>
      </c>
      <c r="C1" s="12">
        <v>2</v>
      </c>
      <c r="D1" s="12">
        <v>3</v>
      </c>
      <c r="E1" s="12">
        <v>4</v>
      </c>
      <c r="F1" s="12">
        <v>5</v>
      </c>
      <c r="G1" s="12">
        <v>6</v>
      </c>
      <c r="H1" s="12">
        <v>7</v>
      </c>
      <c r="I1" s="12">
        <v>8</v>
      </c>
      <c r="J1" s="12">
        <v>9</v>
      </c>
      <c r="K1" s="12">
        <v>10</v>
      </c>
      <c r="L1" s="12">
        <v>11</v>
      </c>
      <c r="M1" s="12">
        <v>12</v>
      </c>
      <c r="N1" s="12">
        <v>13</v>
      </c>
      <c r="O1" s="12">
        <v>14</v>
      </c>
      <c r="P1" s="12">
        <v>15</v>
      </c>
      <c r="Q1" s="12">
        <v>16</v>
      </c>
      <c r="R1" s="12">
        <v>17</v>
      </c>
      <c r="S1" s="12">
        <v>18</v>
      </c>
      <c r="T1" s="12">
        <v>19</v>
      </c>
      <c r="U1" s="12">
        <v>20</v>
      </c>
      <c r="V1" s="12">
        <v>21</v>
      </c>
      <c r="W1" s="12">
        <v>22</v>
      </c>
      <c r="X1" s="12">
        <v>23</v>
      </c>
      <c r="Y1" s="12">
        <v>24</v>
      </c>
      <c r="Z1" s="12">
        <v>25</v>
      </c>
    </row>
    <row r="2" spans="1:26" x14ac:dyDescent="0.25">
      <c r="A2" s="12" t="s">
        <v>155</v>
      </c>
      <c r="B2" s="38">
        <v>0</v>
      </c>
      <c r="C2" s="38">
        <v>0</v>
      </c>
      <c r="D2" s="38">
        <f>Ingresos!I2</f>
        <v>4771.728991890197</v>
      </c>
      <c r="E2" s="38">
        <f>Ingresos!H2</f>
        <v>5726.0747902682369</v>
      </c>
      <c r="F2" s="38">
        <f t="shared" ref="F2:Z2" si="0">E2</f>
        <v>5726.0747902682369</v>
      </c>
      <c r="G2" s="38">
        <f t="shared" si="0"/>
        <v>5726.0747902682369</v>
      </c>
      <c r="H2" s="38">
        <f t="shared" si="0"/>
        <v>5726.0747902682369</v>
      </c>
      <c r="I2" s="38">
        <f t="shared" si="0"/>
        <v>5726.0747902682369</v>
      </c>
      <c r="J2" s="38">
        <f t="shared" si="0"/>
        <v>5726.0747902682369</v>
      </c>
      <c r="K2" s="38">
        <f t="shared" si="0"/>
        <v>5726.0747902682369</v>
      </c>
      <c r="L2" s="38">
        <f t="shared" si="0"/>
        <v>5726.0747902682369</v>
      </c>
      <c r="M2" s="38">
        <f t="shared" si="0"/>
        <v>5726.0747902682369</v>
      </c>
      <c r="N2" s="38">
        <f t="shared" si="0"/>
        <v>5726.0747902682369</v>
      </c>
      <c r="O2" s="38">
        <f t="shared" si="0"/>
        <v>5726.0747902682369</v>
      </c>
      <c r="P2" s="38">
        <f t="shared" si="0"/>
        <v>5726.0747902682369</v>
      </c>
      <c r="Q2" s="38">
        <f t="shared" si="0"/>
        <v>5726.0747902682369</v>
      </c>
      <c r="R2" s="38">
        <f t="shared" si="0"/>
        <v>5726.0747902682369</v>
      </c>
      <c r="S2" s="38">
        <f t="shared" si="0"/>
        <v>5726.0747902682369</v>
      </c>
      <c r="T2" s="38">
        <f t="shared" si="0"/>
        <v>5726.0747902682369</v>
      </c>
      <c r="U2" s="38">
        <f t="shared" si="0"/>
        <v>5726.0747902682369</v>
      </c>
      <c r="V2" s="38">
        <f t="shared" si="0"/>
        <v>5726.0747902682369</v>
      </c>
      <c r="W2" s="38">
        <f t="shared" si="0"/>
        <v>5726.0747902682369</v>
      </c>
      <c r="X2" s="38">
        <f t="shared" si="0"/>
        <v>5726.0747902682369</v>
      </c>
      <c r="Y2" s="38">
        <f t="shared" si="0"/>
        <v>5726.0747902682369</v>
      </c>
      <c r="Z2" s="38">
        <f t="shared" si="0"/>
        <v>5726.0747902682369</v>
      </c>
    </row>
    <row r="3" spans="1:26" x14ac:dyDescent="0.25">
      <c r="A3" s="12" t="s">
        <v>156</v>
      </c>
      <c r="B3" s="25">
        <f>-'gastos de personal'!C32</f>
        <v>-1344.9316087153632</v>
      </c>
      <c r="C3" s="38">
        <f>-'gastos de personal'!$C$33</f>
        <v>-1216.3483970830775</v>
      </c>
      <c r="D3" s="38">
        <f>-'gastos de personal'!C34</f>
        <v>-2849.2506456166534</v>
      </c>
      <c r="E3" s="38">
        <f>D3-'gastos de personal'!$D$36</f>
        <v>-2849.5991096048169</v>
      </c>
      <c r="F3" s="38">
        <f>E3-'gastos de personal'!$D$36</f>
        <v>-2849.9475735929805</v>
      </c>
      <c r="G3" s="38">
        <f>F3-'gastos de personal'!$D$36</f>
        <v>-2850.296037581144</v>
      </c>
      <c r="H3" s="38">
        <f>G3-'gastos de personal'!$D$36</f>
        <v>-2850.6445015693075</v>
      </c>
      <c r="I3" s="38">
        <f>H3-'gastos de personal'!$D$36</f>
        <v>-2850.9929655574711</v>
      </c>
      <c r="J3" s="38">
        <f>I3-'gastos de personal'!$D$36</f>
        <v>-2851.3414295456346</v>
      </c>
      <c r="K3" s="38">
        <f>J3-'gastos de personal'!$D$36</f>
        <v>-2851.6898935337981</v>
      </c>
      <c r="L3" s="38">
        <f>K3-'gastos de personal'!$D$36</f>
        <v>-2852.0383575219616</v>
      </c>
      <c r="M3" s="38">
        <f>L3-'gastos de personal'!$D$36</f>
        <v>-2852.3868215101252</v>
      </c>
      <c r="N3" s="38">
        <f>M3-'gastos de personal'!$D$36</f>
        <v>-2852.7352854982887</v>
      </c>
      <c r="O3" s="38">
        <f>N3-'gastos de personal'!$D$36</f>
        <v>-2853.0837494864522</v>
      </c>
      <c r="P3" s="38">
        <f>O3-'gastos de personal'!$D$36</f>
        <v>-2853.4322134746158</v>
      </c>
      <c r="Q3" s="38">
        <f>P3-'gastos de personal'!$D$36</f>
        <v>-2853.7806774627793</v>
      </c>
      <c r="R3" s="38">
        <f>Q3-'gastos de personal'!$D$36</f>
        <v>-2854.1291414509428</v>
      </c>
      <c r="S3" s="38">
        <f>R3-'gastos de personal'!$D$36</f>
        <v>-2854.4776054391064</v>
      </c>
      <c r="T3" s="38">
        <f>S3-'gastos de personal'!$D$36</f>
        <v>-2854.8260694272699</v>
      </c>
      <c r="U3" s="38">
        <f>T3-'gastos de personal'!$D$36</f>
        <v>-2855.1745334154334</v>
      </c>
      <c r="V3" s="38">
        <f>U3-'gastos de personal'!$D$36</f>
        <v>-2855.5229974035969</v>
      </c>
      <c r="W3" s="38">
        <f>V3-'gastos de personal'!$D$36</f>
        <v>-2855.8714613917605</v>
      </c>
      <c r="X3" s="38">
        <f>W3-'gastos de personal'!$D$36</f>
        <v>-2856.219925379924</v>
      </c>
      <c r="Y3" s="38">
        <f>X3-'gastos de personal'!$D$36</f>
        <v>-2856.5683893680875</v>
      </c>
      <c r="Z3" s="38">
        <f>Y3-'gastos de personal'!$D$36</f>
        <v>-2856.9168533562511</v>
      </c>
    </row>
    <row r="4" spans="1:26" x14ac:dyDescent="0.25">
      <c r="A4" s="12" t="s">
        <v>157</v>
      </c>
      <c r="B4" s="25">
        <f t="shared" ref="B4:J4" si="1">SUM(B2:B3)</f>
        <v>-1344.9316087153632</v>
      </c>
      <c r="C4" s="25">
        <f t="shared" si="1"/>
        <v>-1216.3483970830775</v>
      </c>
      <c r="D4" s="25">
        <f t="shared" si="1"/>
        <v>1922.4783462735436</v>
      </c>
      <c r="E4" s="25">
        <f t="shared" si="1"/>
        <v>2876.47568066342</v>
      </c>
      <c r="F4" s="25">
        <f t="shared" si="1"/>
        <v>2876.1272166752565</v>
      </c>
      <c r="G4" s="25">
        <f t="shared" si="1"/>
        <v>2875.7787526870929</v>
      </c>
      <c r="H4" s="25">
        <f t="shared" si="1"/>
        <v>2875.4302886989294</v>
      </c>
      <c r="I4" s="25">
        <f t="shared" si="1"/>
        <v>2875.0818247107659</v>
      </c>
      <c r="J4" s="25">
        <f t="shared" si="1"/>
        <v>2874.7333607226024</v>
      </c>
      <c r="K4" s="25">
        <f t="shared" ref="K4:Z4" si="2">SUM(K2:K3)</f>
        <v>2874.3848967344388</v>
      </c>
      <c r="L4" s="25">
        <f t="shared" si="2"/>
        <v>2874.0364327462753</v>
      </c>
      <c r="M4" s="25">
        <f t="shared" si="2"/>
        <v>2873.6879687581118</v>
      </c>
      <c r="N4" s="25">
        <f t="shared" si="2"/>
        <v>2873.3395047699482</v>
      </c>
      <c r="O4" s="25">
        <f t="shared" si="2"/>
        <v>2872.9910407817847</v>
      </c>
      <c r="P4" s="25">
        <f t="shared" si="2"/>
        <v>2872.6425767936212</v>
      </c>
      <c r="Q4" s="25">
        <f t="shared" si="2"/>
        <v>2872.2941128054576</v>
      </c>
      <c r="R4" s="25">
        <f t="shared" si="2"/>
        <v>2871.9456488172941</v>
      </c>
      <c r="S4" s="25">
        <f t="shared" si="2"/>
        <v>2871.5971848291306</v>
      </c>
      <c r="T4" s="25">
        <f t="shared" si="2"/>
        <v>2871.2487208409671</v>
      </c>
      <c r="U4" s="25">
        <f t="shared" si="2"/>
        <v>2870.9002568528035</v>
      </c>
      <c r="V4" s="25">
        <f t="shared" si="2"/>
        <v>2870.55179286464</v>
      </c>
      <c r="W4" s="25">
        <f t="shared" si="2"/>
        <v>2870.2033288764765</v>
      </c>
      <c r="X4" s="25">
        <f t="shared" si="2"/>
        <v>2869.8548648883129</v>
      </c>
      <c r="Y4" s="25">
        <f t="shared" si="2"/>
        <v>2869.5064009001494</v>
      </c>
      <c r="Z4" s="25">
        <f t="shared" si="2"/>
        <v>2869.1579369119859</v>
      </c>
    </row>
    <row r="5" spans="1:26" x14ac:dyDescent="0.25">
      <c r="A5" s="12" t="s">
        <v>158</v>
      </c>
      <c r="B5" s="48">
        <f>B4</f>
        <v>-1344.9316087153632</v>
      </c>
      <c r="C5" s="25">
        <f>B5+C4</f>
        <v>-2561.2800057984405</v>
      </c>
      <c r="D5" s="25">
        <f t="shared" ref="D5:J5" si="3">C5+D4</f>
        <v>-638.80165952489688</v>
      </c>
      <c r="E5" s="25">
        <f t="shared" si="3"/>
        <v>2237.6740211385231</v>
      </c>
      <c r="F5" s="25">
        <f t="shared" si="3"/>
        <v>5113.8012378137792</v>
      </c>
      <c r="G5" s="25">
        <f t="shared" si="3"/>
        <v>7989.5799905008716</v>
      </c>
      <c r="H5" s="25">
        <f t="shared" si="3"/>
        <v>10865.010279199802</v>
      </c>
      <c r="I5" s="25">
        <f t="shared" si="3"/>
        <v>13740.092103910567</v>
      </c>
      <c r="J5" s="25">
        <f t="shared" si="3"/>
        <v>16614.82546463317</v>
      </c>
      <c r="K5" s="25">
        <f t="shared" ref="K5:Z5" si="4">J5+K4</f>
        <v>19489.210361367608</v>
      </c>
      <c r="L5" s="25">
        <f t="shared" si="4"/>
        <v>22363.246794113882</v>
      </c>
      <c r="M5" s="25">
        <f t="shared" si="4"/>
        <v>25236.934762871995</v>
      </c>
      <c r="N5" s="25">
        <f t="shared" si="4"/>
        <v>28110.274267641944</v>
      </c>
      <c r="O5" s="25">
        <f t="shared" si="4"/>
        <v>30983.265308423728</v>
      </c>
      <c r="P5" s="25">
        <f t="shared" si="4"/>
        <v>33855.907885217348</v>
      </c>
      <c r="Q5" s="25">
        <f t="shared" si="4"/>
        <v>36728.201998022807</v>
      </c>
      <c r="R5" s="25">
        <f t="shared" si="4"/>
        <v>39600.147646840102</v>
      </c>
      <c r="S5" s="25">
        <f t="shared" si="4"/>
        <v>42471.744831669232</v>
      </c>
      <c r="T5" s="25">
        <f t="shared" si="4"/>
        <v>45342.993552510197</v>
      </c>
      <c r="U5" s="25">
        <f t="shared" si="4"/>
        <v>48213.893809362999</v>
      </c>
      <c r="V5" s="25">
        <f t="shared" si="4"/>
        <v>51084.445602227635</v>
      </c>
      <c r="W5" s="25">
        <f t="shared" si="4"/>
        <v>53954.648931104115</v>
      </c>
      <c r="X5" s="25">
        <f t="shared" si="4"/>
        <v>56824.50379599243</v>
      </c>
      <c r="Y5" s="25">
        <f t="shared" si="4"/>
        <v>59694.010196892581</v>
      </c>
      <c r="Z5" s="25">
        <f t="shared" si="4"/>
        <v>62563.168133804567</v>
      </c>
    </row>
    <row r="7" spans="1:26" x14ac:dyDescent="0.25">
      <c r="C7" t="s">
        <v>127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"/>
  <sheetViews>
    <sheetView workbookViewId="0">
      <selection activeCell="J17" sqref="J17"/>
    </sheetView>
  </sheetViews>
  <sheetFormatPr baseColWidth="10" defaultColWidth="11.42578125" defaultRowHeight="15" x14ac:dyDescent="0.25"/>
  <sheetData>
    <row r="1" spans="1:28" x14ac:dyDescent="0.25">
      <c r="A1" s="12" t="s">
        <v>159</v>
      </c>
      <c r="B1" s="12">
        <v>1</v>
      </c>
      <c r="C1" s="12">
        <v>2</v>
      </c>
      <c r="D1" s="12">
        <v>3</v>
      </c>
      <c r="E1" s="12">
        <v>4</v>
      </c>
      <c r="F1" s="12">
        <v>5</v>
      </c>
      <c r="G1" s="12">
        <v>6</v>
      </c>
      <c r="H1" s="12">
        <v>7</v>
      </c>
      <c r="I1" s="12">
        <v>8</v>
      </c>
      <c r="J1" s="12">
        <v>9</v>
      </c>
      <c r="K1" s="12">
        <v>10</v>
      </c>
      <c r="L1" s="12">
        <v>11</v>
      </c>
      <c r="M1" s="12">
        <v>12</v>
      </c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</row>
    <row r="2" spans="1:28" x14ac:dyDescent="0.25">
      <c r="A2" s="12" t="s">
        <v>155</v>
      </c>
      <c r="B2" s="38">
        <v>0</v>
      </c>
      <c r="C2" s="38">
        <v>0</v>
      </c>
      <c r="D2" s="38">
        <f>Ingresos!$H$2/12</f>
        <v>477.17289918901974</v>
      </c>
      <c r="E2" s="38">
        <f>Ingresos!$H$2/12</f>
        <v>477.17289918901974</v>
      </c>
      <c r="F2" s="38">
        <f>Ingresos!$H$2/12</f>
        <v>477.17289918901974</v>
      </c>
      <c r="G2" s="38">
        <f>Ingresos!$H$2/12</f>
        <v>477.17289918901974</v>
      </c>
      <c r="H2" s="38">
        <f>Ingresos!$H$2/12</f>
        <v>477.17289918901974</v>
      </c>
      <c r="I2" s="38">
        <f>Ingresos!$H$2/12</f>
        <v>477.17289918901974</v>
      </c>
      <c r="J2" s="38">
        <f>Ingresos!$H$2/12</f>
        <v>477.17289918901974</v>
      </c>
      <c r="K2" s="38">
        <f>Ingresos!$H$2/12</f>
        <v>477.17289918901974</v>
      </c>
      <c r="L2" s="38">
        <f>Ingresos!$H$2/12</f>
        <v>477.17289918901974</v>
      </c>
      <c r="M2" s="38">
        <f>Ingresos!$H$2/12</f>
        <v>477.17289918901974</v>
      </c>
      <c r="N2" s="103"/>
      <c r="O2" s="103">
        <f>SUM(B2:M2)</f>
        <v>4771.7289918901961</v>
      </c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</row>
    <row r="3" spans="1:28" x14ac:dyDescent="0.25">
      <c r="A3" s="12" t="s">
        <v>156</v>
      </c>
      <c r="B3" s="25">
        <f>-'gastos de personal'!C32/12</f>
        <v>-112.0776340596136</v>
      </c>
      <c r="C3" s="25">
        <f>-'gastos de personal'!C33/12</f>
        <v>-101.36236642358979</v>
      </c>
      <c r="D3" s="25">
        <f>-'gastos de personal'!C34/12</f>
        <v>-237.43755380138779</v>
      </c>
      <c r="E3" s="25">
        <f t="shared" ref="E3:M3" si="0">D3</f>
        <v>-237.43755380138779</v>
      </c>
      <c r="F3" s="25">
        <f t="shared" si="0"/>
        <v>-237.43755380138779</v>
      </c>
      <c r="G3" s="25">
        <f t="shared" si="0"/>
        <v>-237.43755380138779</v>
      </c>
      <c r="H3" s="25">
        <f t="shared" si="0"/>
        <v>-237.43755380138779</v>
      </c>
      <c r="I3" s="25">
        <f t="shared" si="0"/>
        <v>-237.43755380138779</v>
      </c>
      <c r="J3" s="25">
        <f t="shared" si="0"/>
        <v>-237.43755380138779</v>
      </c>
      <c r="K3" s="25">
        <f t="shared" si="0"/>
        <v>-237.43755380138779</v>
      </c>
      <c r="L3" s="25">
        <f t="shared" si="0"/>
        <v>-237.43755380138779</v>
      </c>
      <c r="M3" s="25">
        <f t="shared" si="0"/>
        <v>-237.43755380138779</v>
      </c>
      <c r="N3" s="103"/>
      <c r="O3" s="103">
        <f>SUM(B3:M3)</f>
        <v>-2587.8155384970814</v>
      </c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B3">
        <f>-'gastos de personal'!$C$33-'capital de trabajo meses'!D2*'capital de trabajo meses'!D22</f>
        <v>-1216.3483970830775</v>
      </c>
    </row>
    <row r="4" spans="1:28" x14ac:dyDescent="0.25">
      <c r="A4" s="12" t="s">
        <v>157</v>
      </c>
      <c r="B4" s="25">
        <f t="shared" ref="B4:M4" si="1">SUM(B2:B3)</f>
        <v>-112.0776340596136</v>
      </c>
      <c r="C4" s="25">
        <f t="shared" si="1"/>
        <v>-101.36236642358979</v>
      </c>
      <c r="D4" s="25">
        <f t="shared" si="1"/>
        <v>239.73534538763195</v>
      </c>
      <c r="E4" s="25">
        <f t="shared" si="1"/>
        <v>239.73534538763195</v>
      </c>
      <c r="F4" s="25">
        <f t="shared" si="1"/>
        <v>239.73534538763195</v>
      </c>
      <c r="G4" s="25">
        <f t="shared" si="1"/>
        <v>239.73534538763195</v>
      </c>
      <c r="H4" s="25">
        <f t="shared" si="1"/>
        <v>239.73534538763195</v>
      </c>
      <c r="I4" s="25">
        <f t="shared" si="1"/>
        <v>239.73534538763195</v>
      </c>
      <c r="J4" s="25">
        <f t="shared" si="1"/>
        <v>239.73534538763195</v>
      </c>
      <c r="K4" s="25">
        <f t="shared" si="1"/>
        <v>239.73534538763195</v>
      </c>
      <c r="L4" s="25">
        <f t="shared" si="1"/>
        <v>239.73534538763195</v>
      </c>
      <c r="M4" s="25">
        <f t="shared" si="1"/>
        <v>239.73534538763195</v>
      </c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</row>
    <row r="5" spans="1:28" x14ac:dyDescent="0.25">
      <c r="A5" s="12" t="s">
        <v>158</v>
      </c>
      <c r="B5" s="48">
        <f>B4</f>
        <v>-112.0776340596136</v>
      </c>
      <c r="C5" s="25">
        <f>B5+C4</f>
        <v>-213.44000048320339</v>
      </c>
      <c r="D5" s="25">
        <f t="shared" ref="D5:M5" si="2">C5+D4</f>
        <v>26.295344904428561</v>
      </c>
      <c r="E5" s="25">
        <f t="shared" si="2"/>
        <v>266.03069029206051</v>
      </c>
      <c r="F5" s="25">
        <f t="shared" si="2"/>
        <v>505.76603567969244</v>
      </c>
      <c r="G5" s="25">
        <f t="shared" si="2"/>
        <v>745.50138106732436</v>
      </c>
      <c r="H5" s="25">
        <f t="shared" si="2"/>
        <v>985.23672645495628</v>
      </c>
      <c r="I5" s="25">
        <f t="shared" si="2"/>
        <v>1224.9720718425883</v>
      </c>
      <c r="J5" s="25">
        <f t="shared" si="2"/>
        <v>1464.7074172302202</v>
      </c>
      <c r="K5" s="25">
        <f t="shared" si="2"/>
        <v>1704.4427626178522</v>
      </c>
      <c r="L5" s="25">
        <f t="shared" si="2"/>
        <v>1944.1781080054841</v>
      </c>
      <c r="M5" s="25">
        <f t="shared" si="2"/>
        <v>2183.913453393116</v>
      </c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</row>
    <row r="7" spans="1:28" x14ac:dyDescent="0.25">
      <c r="C7" t="s">
        <v>127</v>
      </c>
    </row>
    <row r="8" spans="1:28" x14ac:dyDescent="0.25">
      <c r="A8" s="120" t="s">
        <v>160</v>
      </c>
      <c r="B8" s="121"/>
      <c r="C8" s="9">
        <f>'capital de trabajo anual'!C5+'capital de trabajo meses'!C5</f>
        <v>-2774.7200062816437</v>
      </c>
    </row>
    <row r="9" spans="1:28" x14ac:dyDescent="0.25">
      <c r="B9" s="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2"/>
  <sheetViews>
    <sheetView workbookViewId="0">
      <pane xSplit="3" ySplit="4" topLeftCell="M16" activePane="bottomRight" state="frozen"/>
      <selection pane="topRight" activeCell="D1" sqref="D1"/>
      <selection pane="bottomLeft" activeCell="A5" sqref="A5"/>
      <selection pane="bottomRight" activeCell="R33" sqref="R33"/>
    </sheetView>
  </sheetViews>
  <sheetFormatPr baseColWidth="10" defaultColWidth="11.42578125" defaultRowHeight="15" x14ac:dyDescent="0.25"/>
  <cols>
    <col min="1" max="1" width="3.42578125" bestFit="1" customWidth="1"/>
    <col min="2" max="2" width="18.7109375" bestFit="1" customWidth="1"/>
    <col min="3" max="3" width="10.140625" customWidth="1"/>
    <col min="4" max="6" width="9.7109375" bestFit="1" customWidth="1"/>
    <col min="7" max="7" width="9.85546875" bestFit="1" customWidth="1"/>
    <col min="8" max="10" width="9.7109375" bestFit="1" customWidth="1"/>
    <col min="11" max="11" width="9.85546875" bestFit="1" customWidth="1"/>
    <col min="12" max="28" width="9.7109375" bestFit="1" customWidth="1"/>
  </cols>
  <sheetData>
    <row r="1" spans="1:28" x14ac:dyDescent="0.25">
      <c r="A1" s="37"/>
      <c r="B1" s="15"/>
      <c r="C1" s="15">
        <v>0</v>
      </c>
      <c r="D1" s="15">
        <v>1</v>
      </c>
      <c r="E1" s="15">
        <v>2</v>
      </c>
      <c r="F1" s="15">
        <v>3</v>
      </c>
      <c r="G1" s="15">
        <v>4</v>
      </c>
      <c r="H1" s="15">
        <v>5</v>
      </c>
      <c r="I1" s="15">
        <v>6</v>
      </c>
      <c r="J1" s="15">
        <v>7</v>
      </c>
      <c r="K1" s="15">
        <v>8</v>
      </c>
      <c r="L1" s="15">
        <v>9</v>
      </c>
      <c r="M1" s="15">
        <v>10</v>
      </c>
      <c r="N1" s="15">
        <v>11</v>
      </c>
      <c r="O1" s="15">
        <v>12</v>
      </c>
      <c r="P1" s="15">
        <v>13</v>
      </c>
      <c r="Q1" s="15">
        <v>14</v>
      </c>
      <c r="R1" s="15">
        <v>15</v>
      </c>
      <c r="S1" s="15">
        <v>16</v>
      </c>
      <c r="T1" s="15">
        <v>17</v>
      </c>
      <c r="U1" s="15">
        <v>18</v>
      </c>
      <c r="V1" s="15">
        <v>19</v>
      </c>
      <c r="W1" s="15">
        <v>20</v>
      </c>
      <c r="X1" s="15">
        <v>21</v>
      </c>
      <c r="Y1" s="15">
        <v>22</v>
      </c>
      <c r="Z1" s="15">
        <v>23</v>
      </c>
      <c r="AA1" s="15">
        <v>24</v>
      </c>
      <c r="AB1" s="15">
        <v>25</v>
      </c>
    </row>
    <row r="2" spans="1:28" x14ac:dyDescent="0.25">
      <c r="A2" s="37" t="s">
        <v>106</v>
      </c>
      <c r="B2" s="15" t="s">
        <v>107</v>
      </c>
      <c r="C2" s="38"/>
      <c r="D2" s="118">
        <v>0</v>
      </c>
      <c r="E2" s="38">
        <v>0</v>
      </c>
      <c r="F2" s="38">
        <f>Ingresos!I2</f>
        <v>4771.728991890197</v>
      </c>
      <c r="G2" s="38">
        <f>Ingresos!H2</f>
        <v>5726.0747902682369</v>
      </c>
      <c r="H2" s="38">
        <f t="shared" ref="H2:AA2" si="0">G2</f>
        <v>5726.0747902682369</v>
      </c>
      <c r="I2" s="38">
        <f t="shared" si="0"/>
        <v>5726.0747902682369</v>
      </c>
      <c r="J2" s="38">
        <f t="shared" si="0"/>
        <v>5726.0747902682369</v>
      </c>
      <c r="K2" s="38">
        <f t="shared" si="0"/>
        <v>5726.0747902682369</v>
      </c>
      <c r="L2" s="38">
        <f t="shared" si="0"/>
        <v>5726.0747902682369</v>
      </c>
      <c r="M2" s="38">
        <f t="shared" si="0"/>
        <v>5726.0747902682369</v>
      </c>
      <c r="N2" s="38">
        <f t="shared" si="0"/>
        <v>5726.0747902682369</v>
      </c>
      <c r="O2" s="38">
        <f t="shared" si="0"/>
        <v>5726.0747902682369</v>
      </c>
      <c r="P2" s="38">
        <f t="shared" si="0"/>
        <v>5726.0747902682369</v>
      </c>
      <c r="Q2" s="38">
        <f t="shared" si="0"/>
        <v>5726.0747902682369</v>
      </c>
      <c r="R2" s="38">
        <f t="shared" si="0"/>
        <v>5726.0747902682369</v>
      </c>
      <c r="S2" s="38">
        <f t="shared" si="0"/>
        <v>5726.0747902682369</v>
      </c>
      <c r="T2" s="38">
        <f t="shared" si="0"/>
        <v>5726.0747902682369</v>
      </c>
      <c r="U2" s="38">
        <f t="shared" si="0"/>
        <v>5726.0747902682369</v>
      </c>
      <c r="V2" s="38">
        <f t="shared" si="0"/>
        <v>5726.0747902682369</v>
      </c>
      <c r="W2" s="38">
        <f t="shared" si="0"/>
        <v>5726.0747902682369</v>
      </c>
      <c r="X2" s="38">
        <f t="shared" si="0"/>
        <v>5726.0747902682369</v>
      </c>
      <c r="Y2" s="38">
        <f t="shared" si="0"/>
        <v>5726.0747902682369</v>
      </c>
      <c r="Z2" s="38">
        <f t="shared" si="0"/>
        <v>5726.0747902682369</v>
      </c>
      <c r="AA2" s="38">
        <f t="shared" si="0"/>
        <v>5726.0747902682369</v>
      </c>
      <c r="AB2" s="38">
        <f>AA2+'capital de trabajo meses'!D2*2</f>
        <v>6680.4205886462769</v>
      </c>
    </row>
    <row r="3" spans="1:28" x14ac:dyDescent="0.25">
      <c r="A3" s="37" t="s">
        <v>108</v>
      </c>
      <c r="B3" s="15" t="s">
        <v>109</v>
      </c>
      <c r="C3" s="38"/>
      <c r="D3" s="118">
        <f>-'gastos de personal'!C32</f>
        <v>-1344.9316087153632</v>
      </c>
      <c r="E3" s="38">
        <f>-'gastos de personal'!C33</f>
        <v>-1216.3483970830775</v>
      </c>
      <c r="F3" s="38">
        <f>-'gastos de personal'!C34</f>
        <v>-2849.2506456166534</v>
      </c>
      <c r="G3" s="38">
        <f>F3-'gastos de personal'!$D$36</f>
        <v>-2849.5991096048169</v>
      </c>
      <c r="H3" s="38">
        <f>G3-'gastos de personal'!$D$36</f>
        <v>-2849.9475735929805</v>
      </c>
      <c r="I3" s="38">
        <f>H3-'gastos de personal'!$D$36</f>
        <v>-2850.296037581144</v>
      </c>
      <c r="J3" s="38">
        <f>I3-'gastos de personal'!$D$36</f>
        <v>-2850.6445015693075</v>
      </c>
      <c r="K3" s="38">
        <f>J3-'gastos de personal'!$D$36</f>
        <v>-2850.9929655574711</v>
      </c>
      <c r="L3" s="38">
        <f>K3-'gastos de personal'!$D$36</f>
        <v>-2851.3414295456346</v>
      </c>
      <c r="M3" s="38">
        <f>L3-'gastos de personal'!$D$36</f>
        <v>-2851.6898935337981</v>
      </c>
      <c r="N3" s="38">
        <f>M3-'gastos de personal'!$D$36</f>
        <v>-2852.0383575219616</v>
      </c>
      <c r="O3" s="38">
        <f>N3-'gastos de personal'!$D$36</f>
        <v>-2852.3868215101252</v>
      </c>
      <c r="P3" s="38">
        <f>O3-'gastos de personal'!$D$36</f>
        <v>-2852.7352854982887</v>
      </c>
      <c r="Q3" s="38">
        <f>P3-'gastos de personal'!$D$36</f>
        <v>-2853.0837494864522</v>
      </c>
      <c r="R3" s="38">
        <f>Q3-'gastos de personal'!$D$36</f>
        <v>-2853.4322134746158</v>
      </c>
      <c r="S3" s="38">
        <f>R3-'gastos de personal'!$D$36</f>
        <v>-2853.7806774627793</v>
      </c>
      <c r="T3" s="38">
        <f>S3-'gastos de personal'!$D$36</f>
        <v>-2854.1291414509428</v>
      </c>
      <c r="U3" s="38">
        <f>T3-'gastos de personal'!$D$36</f>
        <v>-2854.4776054391064</v>
      </c>
      <c r="V3" s="38">
        <f>U3-'gastos de personal'!$D$36</f>
        <v>-2854.8260694272699</v>
      </c>
      <c r="W3" s="38">
        <f>V3-'gastos de personal'!$D$36</f>
        <v>-2855.1745334154334</v>
      </c>
      <c r="X3" s="38">
        <f>W3-'gastos de personal'!$D$36</f>
        <v>-2855.5229974035969</v>
      </c>
      <c r="Y3" s="38">
        <f>X3-'gastos de personal'!$D$36</f>
        <v>-2855.8714613917605</v>
      </c>
      <c r="Z3" s="38">
        <f>Y3-'gastos de personal'!$D$36</f>
        <v>-2856.219925379924</v>
      </c>
      <c r="AA3" s="38">
        <f>Z3-'gastos de personal'!$D$36</f>
        <v>-2856.5683893680875</v>
      </c>
      <c r="AB3" s="38">
        <f>AA3-'gastos de personal'!$D$36</f>
        <v>-2856.9168533562511</v>
      </c>
    </row>
    <row r="4" spans="1:28" x14ac:dyDescent="0.25">
      <c r="A4" s="37" t="s">
        <v>110</v>
      </c>
      <c r="B4" s="17" t="s">
        <v>111</v>
      </c>
      <c r="C4" s="39"/>
      <c r="D4" s="39">
        <f>SUM(D2+D3)</f>
        <v>-1344.9316087153632</v>
      </c>
      <c r="E4" s="39">
        <f t="shared" ref="E4:AB4" si="1">SUM(E2+E3)</f>
        <v>-1216.3483970830775</v>
      </c>
      <c r="F4" s="39">
        <f t="shared" si="1"/>
        <v>1922.4783462735436</v>
      </c>
      <c r="G4" s="39">
        <f t="shared" si="1"/>
        <v>2876.47568066342</v>
      </c>
      <c r="H4" s="39">
        <f t="shared" si="1"/>
        <v>2876.1272166752565</v>
      </c>
      <c r="I4" s="39">
        <f t="shared" si="1"/>
        <v>2875.7787526870929</v>
      </c>
      <c r="J4" s="39">
        <f t="shared" si="1"/>
        <v>2875.4302886989294</v>
      </c>
      <c r="K4" s="39">
        <f t="shared" si="1"/>
        <v>2875.0818247107659</v>
      </c>
      <c r="L4" s="39">
        <f t="shared" si="1"/>
        <v>2874.7333607226024</v>
      </c>
      <c r="M4" s="39">
        <f t="shared" si="1"/>
        <v>2874.3848967344388</v>
      </c>
      <c r="N4" s="39">
        <f t="shared" si="1"/>
        <v>2874.0364327462753</v>
      </c>
      <c r="O4" s="39">
        <f t="shared" si="1"/>
        <v>2873.6879687581118</v>
      </c>
      <c r="P4" s="39">
        <f t="shared" si="1"/>
        <v>2873.3395047699482</v>
      </c>
      <c r="Q4" s="39">
        <f t="shared" si="1"/>
        <v>2872.9910407817847</v>
      </c>
      <c r="R4" s="39">
        <f t="shared" si="1"/>
        <v>2872.6425767936212</v>
      </c>
      <c r="S4" s="39">
        <f t="shared" si="1"/>
        <v>2872.2941128054576</v>
      </c>
      <c r="T4" s="39">
        <f t="shared" si="1"/>
        <v>2871.9456488172941</v>
      </c>
      <c r="U4" s="39">
        <f t="shared" si="1"/>
        <v>2871.5971848291306</v>
      </c>
      <c r="V4" s="39">
        <f t="shared" si="1"/>
        <v>2871.2487208409671</v>
      </c>
      <c r="W4" s="39">
        <f t="shared" si="1"/>
        <v>2870.9002568528035</v>
      </c>
      <c r="X4" s="39">
        <f t="shared" si="1"/>
        <v>2870.55179286464</v>
      </c>
      <c r="Y4" s="39">
        <f t="shared" si="1"/>
        <v>2870.2033288764765</v>
      </c>
      <c r="Z4" s="39">
        <f t="shared" si="1"/>
        <v>2869.8548648883129</v>
      </c>
      <c r="AA4" s="39">
        <f t="shared" si="1"/>
        <v>2869.5064009001494</v>
      </c>
      <c r="AB4" s="39">
        <f t="shared" si="1"/>
        <v>3823.5037352900258</v>
      </c>
    </row>
    <row r="5" spans="1:28" x14ac:dyDescent="0.25">
      <c r="A5" s="37" t="s">
        <v>108</v>
      </c>
      <c r="B5" s="15" t="s">
        <v>112</v>
      </c>
      <c r="C5" s="38"/>
      <c r="D5" s="38">
        <f>-'amortizacion 75%'!D7</f>
        <v>-906.63798326069707</v>
      </c>
      <c r="E5" s="38">
        <f>-'amortizacion 75%'!D8</f>
        <v>-742.13269810283043</v>
      </c>
      <c r="F5" s="38">
        <f>-'amortizacion 75%'!D9</f>
        <v>-569.61600555777579</v>
      </c>
      <c r="G5" s="38">
        <f>-'amortizacion 75%'!D10</f>
        <v>-388.69775008577699</v>
      </c>
      <c r="H5" s="38">
        <f>-'amortizacion 75%'!D11</f>
        <v>-198.9687755722918</v>
      </c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</row>
    <row r="6" spans="1:28" x14ac:dyDescent="0.25">
      <c r="A6" s="37" t="s">
        <v>108</v>
      </c>
      <c r="B6" s="15" t="s">
        <v>113</v>
      </c>
      <c r="C6" s="38"/>
      <c r="D6" s="38"/>
      <c r="E6" s="38">
        <f>-'amortizacion 75%'!D20</f>
        <v>-274.1567242871007</v>
      </c>
      <c r="F6" s="38">
        <f>-'amortizacion 75%'!D29</f>
        <v>-555.40287864049094</v>
      </c>
      <c r="G6" s="38">
        <f>-'amortizacion 75%'!D38</f>
        <v>-697.484858309424</v>
      </c>
      <c r="H6" s="38">
        <f>-'amortizacion 75%'!D47</f>
        <v>-800.02656020344705</v>
      </c>
      <c r="I6" s="38">
        <f>-'amortizacion 75%'!D56</f>
        <v>-907.5790131759328</v>
      </c>
      <c r="J6" s="38">
        <f>-'amortizacion 75%'!D65</f>
        <v>-811.72768586173959</v>
      </c>
      <c r="K6" s="38">
        <f>-'amortizacion 75%'!D74</f>
        <v>-711.2253691035686</v>
      </c>
      <c r="L6" s="38">
        <f>-'amortizacion 75%'!D83</f>
        <v>-605.84555971549821</v>
      </c>
      <c r="M6" s="38">
        <f>-'amortizacion 75%'!D92</f>
        <v>-495.35072380645232</v>
      </c>
      <c r="N6" s="38">
        <f>-'amortizacion 75%'!D101</f>
        <v>-379.49175958485955</v>
      </c>
      <c r="O6" s="38">
        <f>-'amortizacion 75%'!D110</f>
        <v>-258.00743400189867</v>
      </c>
      <c r="P6" s="38">
        <f>-'amortizacion 75%'!D119</f>
        <v>-130.62379195927122</v>
      </c>
      <c r="Q6" s="38">
        <f>-'amortizacion 75%'!D128</f>
        <v>0</v>
      </c>
      <c r="R6" s="38">
        <f>-'amortizacion 75%'!D137</f>
        <v>0</v>
      </c>
      <c r="S6" s="38">
        <f>-'amortizacion 75%'!D146</f>
        <v>0</v>
      </c>
      <c r="T6" s="38">
        <f>-'amortizacion 75%'!D155</f>
        <v>0</v>
      </c>
      <c r="U6" s="38">
        <f>-'amortizacion 75%'!D164</f>
        <v>0</v>
      </c>
      <c r="V6" s="38">
        <f>-'amortizacion 75%'!D173</f>
        <v>0</v>
      </c>
      <c r="W6" s="38">
        <f>-'amortizacion 75%'!D182</f>
        <v>0</v>
      </c>
      <c r="X6" s="38">
        <f>-'amortizacion 75%'!D191</f>
        <v>0</v>
      </c>
      <c r="Y6" s="38">
        <f>-'amortizacion 75%'!D200</f>
        <v>0</v>
      </c>
      <c r="Z6" s="38">
        <f>-'amortizacion 75%'!D209</f>
        <v>0</v>
      </c>
      <c r="AA6" s="38">
        <f>-'amortizacion 75%'!D218</f>
        <v>0</v>
      </c>
      <c r="AB6" s="38">
        <f>-'amortizacion 75%'!D227</f>
        <v>0</v>
      </c>
    </row>
    <row r="7" spans="1:28" x14ac:dyDescent="0.25">
      <c r="A7" s="37" t="s">
        <v>108</v>
      </c>
      <c r="B7" s="15" t="s">
        <v>114</v>
      </c>
      <c r="C7" s="38"/>
      <c r="D7" s="38">
        <f>-depreciación!D14</f>
        <v>-6499.2540052194581</v>
      </c>
      <c r="E7" s="38">
        <f>-depreciación!E14</f>
        <v>-6499.2540052194581</v>
      </c>
      <c r="F7" s="38">
        <f>-depreciación!F14</f>
        <v>-6233.4468075563973</v>
      </c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</row>
    <row r="8" spans="1:28" x14ac:dyDescent="0.25">
      <c r="A8" s="40" t="s">
        <v>115</v>
      </c>
      <c r="B8" s="15" t="s">
        <v>116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</row>
    <row r="9" spans="1:28" x14ac:dyDescent="0.25">
      <c r="A9" s="37" t="s">
        <v>108</v>
      </c>
      <c r="B9" s="15" t="s">
        <v>117</v>
      </c>
      <c r="C9" s="38"/>
      <c r="D9" s="38"/>
      <c r="E9" s="38">
        <f>IF(D10&lt;1,(D10),(0))</f>
        <v>-8750.8235971955182</v>
      </c>
      <c r="F9" s="38">
        <f t="shared" ref="F9:AB9" si="2">IF(E10&lt;1,(E10),(0))</f>
        <v>-17482.715421887984</v>
      </c>
      <c r="G9" s="38">
        <f t="shared" si="2"/>
        <v>-22918.702767369105</v>
      </c>
      <c r="H9" s="38">
        <f t="shared" si="2"/>
        <v>-21128.409695100887</v>
      </c>
      <c r="I9" s="38">
        <f t="shared" si="2"/>
        <v>-19251.27781420137</v>
      </c>
      <c r="J9" s="38">
        <f t="shared" si="2"/>
        <v>-17283.078074690209</v>
      </c>
      <c r="K9" s="38">
        <f t="shared" si="2"/>
        <v>-15219.37547185302</v>
      </c>
      <c r="L9" s="38">
        <f t="shared" si="2"/>
        <v>-13055.519016245822</v>
      </c>
      <c r="M9" s="38">
        <f t="shared" si="2"/>
        <v>-10786.631215238718</v>
      </c>
      <c r="N9" s="38">
        <f t="shared" si="2"/>
        <v>-8407.5970423107319</v>
      </c>
      <c r="O9" s="38">
        <f t="shared" si="2"/>
        <v>-5913.0523691493163</v>
      </c>
      <c r="P9" s="38">
        <f t="shared" si="2"/>
        <v>-3297.3718343931032</v>
      </c>
      <c r="Q9" s="38">
        <f t="shared" si="2"/>
        <v>-554.65612158242629</v>
      </c>
      <c r="R9" s="38">
        <f t="shared" si="2"/>
        <v>0</v>
      </c>
      <c r="S9" s="38">
        <f t="shared" si="2"/>
        <v>0</v>
      </c>
      <c r="T9" s="38">
        <f t="shared" si="2"/>
        <v>0</v>
      </c>
      <c r="U9" s="38">
        <f t="shared" si="2"/>
        <v>0</v>
      </c>
      <c r="V9" s="38">
        <f t="shared" si="2"/>
        <v>0</v>
      </c>
      <c r="W9" s="38">
        <f t="shared" si="2"/>
        <v>0</v>
      </c>
      <c r="X9" s="38">
        <f t="shared" si="2"/>
        <v>0</v>
      </c>
      <c r="Y9" s="38">
        <f t="shared" si="2"/>
        <v>0</v>
      </c>
      <c r="Z9" s="38">
        <f t="shared" si="2"/>
        <v>0</v>
      </c>
      <c r="AA9" s="38">
        <f t="shared" si="2"/>
        <v>0</v>
      </c>
      <c r="AB9" s="38">
        <f t="shared" si="2"/>
        <v>0</v>
      </c>
    </row>
    <row r="10" spans="1:28" x14ac:dyDescent="0.25">
      <c r="A10" s="37" t="s">
        <v>110</v>
      </c>
      <c r="B10" s="17" t="s">
        <v>118</v>
      </c>
      <c r="C10" s="39"/>
      <c r="D10" s="39">
        <f>SUM(D4:D9)</f>
        <v>-8750.8235971955182</v>
      </c>
      <c r="E10" s="39">
        <f t="shared" ref="E10:AB10" si="3">SUM(E4:E9)</f>
        <v>-17482.715421887984</v>
      </c>
      <c r="F10" s="39">
        <f t="shared" si="3"/>
        <v>-22918.702767369105</v>
      </c>
      <c r="G10" s="39">
        <f t="shared" si="3"/>
        <v>-21128.409695100887</v>
      </c>
      <c r="H10" s="39">
        <f t="shared" si="3"/>
        <v>-19251.27781420137</v>
      </c>
      <c r="I10" s="39">
        <f t="shared" si="3"/>
        <v>-17283.078074690209</v>
      </c>
      <c r="J10" s="39">
        <f t="shared" si="3"/>
        <v>-15219.37547185302</v>
      </c>
      <c r="K10" s="39">
        <f t="shared" si="3"/>
        <v>-13055.519016245822</v>
      </c>
      <c r="L10" s="39">
        <f t="shared" si="3"/>
        <v>-10786.631215238718</v>
      </c>
      <c r="M10" s="39">
        <f t="shared" si="3"/>
        <v>-8407.5970423107319</v>
      </c>
      <c r="N10" s="39">
        <f t="shared" si="3"/>
        <v>-5913.0523691493163</v>
      </c>
      <c r="O10" s="39">
        <f t="shared" si="3"/>
        <v>-3297.3718343931032</v>
      </c>
      <c r="P10" s="39">
        <f t="shared" si="3"/>
        <v>-554.65612158242629</v>
      </c>
      <c r="Q10" s="39">
        <f t="shared" si="3"/>
        <v>2318.3349191993584</v>
      </c>
      <c r="R10" s="39">
        <f t="shared" si="3"/>
        <v>2872.6425767936212</v>
      </c>
      <c r="S10" s="39">
        <f t="shared" si="3"/>
        <v>2872.2941128054576</v>
      </c>
      <c r="T10" s="39">
        <f t="shared" si="3"/>
        <v>2871.9456488172941</v>
      </c>
      <c r="U10" s="39">
        <f t="shared" si="3"/>
        <v>2871.5971848291306</v>
      </c>
      <c r="V10" s="39">
        <f t="shared" si="3"/>
        <v>2871.2487208409671</v>
      </c>
      <c r="W10" s="39">
        <f t="shared" si="3"/>
        <v>2870.9002568528035</v>
      </c>
      <c r="X10" s="39">
        <f t="shared" si="3"/>
        <v>2870.55179286464</v>
      </c>
      <c r="Y10" s="39">
        <f t="shared" si="3"/>
        <v>2870.2033288764765</v>
      </c>
      <c r="Z10" s="39">
        <f t="shared" si="3"/>
        <v>2869.8548648883129</v>
      </c>
      <c r="AA10" s="39">
        <f t="shared" si="3"/>
        <v>2869.5064009001494</v>
      </c>
      <c r="AB10" s="39">
        <f t="shared" si="3"/>
        <v>3823.5037352900258</v>
      </c>
    </row>
    <row r="11" spans="1:28" x14ac:dyDescent="0.25">
      <c r="A11" s="37" t="s">
        <v>108</v>
      </c>
      <c r="B11" s="15" t="s">
        <v>119</v>
      </c>
      <c r="C11" s="38"/>
      <c r="D11" s="38">
        <f>IF(D10&gt;0,(-D10*0.27),(0))</f>
        <v>0</v>
      </c>
      <c r="E11" s="38">
        <f t="shared" ref="E11:AB11" si="4">IF(E10&gt;0,(-E10*0.27),(0))</f>
        <v>0</v>
      </c>
      <c r="F11" s="38">
        <f t="shared" si="4"/>
        <v>0</v>
      </c>
      <c r="G11" s="38">
        <f t="shared" si="4"/>
        <v>0</v>
      </c>
      <c r="H11" s="38">
        <f t="shared" si="4"/>
        <v>0</v>
      </c>
      <c r="I11" s="38">
        <f t="shared" si="4"/>
        <v>0</v>
      </c>
      <c r="J11" s="38">
        <f t="shared" si="4"/>
        <v>0</v>
      </c>
      <c r="K11" s="38">
        <f t="shared" si="4"/>
        <v>0</v>
      </c>
      <c r="L11" s="38">
        <f t="shared" si="4"/>
        <v>0</v>
      </c>
      <c r="M11" s="38">
        <f t="shared" si="4"/>
        <v>0</v>
      </c>
      <c r="N11" s="38">
        <f t="shared" si="4"/>
        <v>0</v>
      </c>
      <c r="O11" s="38">
        <f t="shared" si="4"/>
        <v>0</v>
      </c>
      <c r="P11" s="38">
        <f t="shared" si="4"/>
        <v>0</v>
      </c>
      <c r="Q11" s="38">
        <f t="shared" si="4"/>
        <v>-625.95042818382683</v>
      </c>
      <c r="R11" s="38">
        <f t="shared" si="4"/>
        <v>-775.61349573427776</v>
      </c>
      <c r="S11" s="38">
        <f t="shared" si="4"/>
        <v>-775.51941045747367</v>
      </c>
      <c r="T11" s="38">
        <f t="shared" si="4"/>
        <v>-775.42532518066946</v>
      </c>
      <c r="U11" s="38">
        <f t="shared" si="4"/>
        <v>-775.33123990386525</v>
      </c>
      <c r="V11" s="38">
        <f t="shared" si="4"/>
        <v>-775.23715462706116</v>
      </c>
      <c r="W11" s="38">
        <f t="shared" si="4"/>
        <v>-775.14306935025695</v>
      </c>
      <c r="X11" s="38">
        <f t="shared" si="4"/>
        <v>-775.04898407345286</v>
      </c>
      <c r="Y11" s="38">
        <f t="shared" si="4"/>
        <v>-774.95489879664865</v>
      </c>
      <c r="Z11" s="38">
        <f t="shared" si="4"/>
        <v>-774.86081351984456</v>
      </c>
      <c r="AA11" s="38">
        <f t="shared" si="4"/>
        <v>-774.76672824304035</v>
      </c>
      <c r="AB11" s="38">
        <f t="shared" si="4"/>
        <v>-1032.346008528307</v>
      </c>
    </row>
    <row r="12" spans="1:28" x14ac:dyDescent="0.25">
      <c r="A12" s="37" t="s">
        <v>110</v>
      </c>
      <c r="B12" s="17" t="s">
        <v>120</v>
      </c>
      <c r="C12" s="39"/>
      <c r="D12" s="39">
        <f>SUM(D10:D11)</f>
        <v>-8750.8235971955182</v>
      </c>
      <c r="E12" s="39">
        <f t="shared" ref="E12:AB12" si="5">SUM(E10:E11)</f>
        <v>-17482.715421887984</v>
      </c>
      <c r="F12" s="39">
        <f t="shared" si="5"/>
        <v>-22918.702767369105</v>
      </c>
      <c r="G12" s="39">
        <f t="shared" si="5"/>
        <v>-21128.409695100887</v>
      </c>
      <c r="H12" s="39">
        <f t="shared" si="5"/>
        <v>-19251.27781420137</v>
      </c>
      <c r="I12" s="39">
        <f t="shared" si="5"/>
        <v>-17283.078074690209</v>
      </c>
      <c r="J12" s="39">
        <f t="shared" si="5"/>
        <v>-15219.37547185302</v>
      </c>
      <c r="K12" s="39">
        <f t="shared" si="5"/>
        <v>-13055.519016245822</v>
      </c>
      <c r="L12" s="39">
        <f t="shared" si="5"/>
        <v>-10786.631215238718</v>
      </c>
      <c r="M12" s="39">
        <f t="shared" si="5"/>
        <v>-8407.5970423107319</v>
      </c>
      <c r="N12" s="39">
        <f t="shared" si="5"/>
        <v>-5913.0523691493163</v>
      </c>
      <c r="O12" s="39">
        <f t="shared" si="5"/>
        <v>-3297.3718343931032</v>
      </c>
      <c r="P12" s="39">
        <f t="shared" si="5"/>
        <v>-554.65612158242629</v>
      </c>
      <c r="Q12" s="39">
        <f t="shared" si="5"/>
        <v>1692.3844910155317</v>
      </c>
      <c r="R12" s="39">
        <f t="shared" si="5"/>
        <v>2097.0290810593433</v>
      </c>
      <c r="S12" s="39">
        <f t="shared" si="5"/>
        <v>2096.7747023479842</v>
      </c>
      <c r="T12" s="39">
        <f t="shared" si="5"/>
        <v>2096.5203236366247</v>
      </c>
      <c r="U12" s="39">
        <f t="shared" si="5"/>
        <v>2096.2659449252651</v>
      </c>
      <c r="V12" s="39">
        <f t="shared" si="5"/>
        <v>2096.011566213906</v>
      </c>
      <c r="W12" s="39">
        <f t="shared" si="5"/>
        <v>2095.7571875025465</v>
      </c>
      <c r="X12" s="39">
        <f t="shared" si="5"/>
        <v>2095.5028087911869</v>
      </c>
      <c r="Y12" s="39">
        <f t="shared" si="5"/>
        <v>2095.2484300798278</v>
      </c>
      <c r="Z12" s="39">
        <f t="shared" si="5"/>
        <v>2094.9940513684683</v>
      </c>
      <c r="AA12" s="39">
        <f t="shared" si="5"/>
        <v>2094.7396726571092</v>
      </c>
      <c r="AB12" s="39">
        <f t="shared" si="5"/>
        <v>2791.1577267617185</v>
      </c>
    </row>
    <row r="13" spans="1:28" x14ac:dyDescent="0.25">
      <c r="A13" s="37" t="s">
        <v>106</v>
      </c>
      <c r="B13" s="15" t="s">
        <v>117</v>
      </c>
      <c r="C13" s="38"/>
      <c r="D13" s="38"/>
      <c r="E13" s="38">
        <f t="shared" ref="E13:L13" si="6">-E9</f>
        <v>8750.8235971955182</v>
      </c>
      <c r="F13" s="38">
        <f t="shared" si="6"/>
        <v>17482.715421887984</v>
      </c>
      <c r="G13" s="38">
        <f t="shared" si="6"/>
        <v>22918.702767369105</v>
      </c>
      <c r="H13" s="38">
        <f t="shared" si="6"/>
        <v>21128.409695100887</v>
      </c>
      <c r="I13" s="38">
        <f t="shared" si="6"/>
        <v>19251.27781420137</v>
      </c>
      <c r="J13" s="38">
        <f t="shared" si="6"/>
        <v>17283.078074690209</v>
      </c>
      <c r="K13" s="38">
        <f t="shared" si="6"/>
        <v>15219.37547185302</v>
      </c>
      <c r="L13" s="38">
        <f t="shared" si="6"/>
        <v>13055.519016245822</v>
      </c>
      <c r="M13" s="38">
        <f t="shared" ref="M13:AB13" si="7">-M9</f>
        <v>10786.631215238718</v>
      </c>
      <c r="N13" s="38">
        <f t="shared" si="7"/>
        <v>8407.5970423107319</v>
      </c>
      <c r="O13" s="38">
        <f t="shared" si="7"/>
        <v>5913.0523691493163</v>
      </c>
      <c r="P13" s="38">
        <f t="shared" si="7"/>
        <v>3297.3718343931032</v>
      </c>
      <c r="Q13" s="38">
        <f t="shared" si="7"/>
        <v>554.65612158242629</v>
      </c>
      <c r="R13" s="38">
        <f t="shared" si="7"/>
        <v>0</v>
      </c>
      <c r="S13" s="38">
        <f t="shared" si="7"/>
        <v>0</v>
      </c>
      <c r="T13" s="38">
        <f t="shared" si="7"/>
        <v>0</v>
      </c>
      <c r="U13" s="38">
        <f t="shared" si="7"/>
        <v>0</v>
      </c>
      <c r="V13" s="38">
        <f t="shared" si="7"/>
        <v>0</v>
      </c>
      <c r="W13" s="38">
        <f t="shared" si="7"/>
        <v>0</v>
      </c>
      <c r="X13" s="38">
        <f t="shared" si="7"/>
        <v>0</v>
      </c>
      <c r="Y13" s="38">
        <f t="shared" si="7"/>
        <v>0</v>
      </c>
      <c r="Z13" s="38">
        <f t="shared" si="7"/>
        <v>0</v>
      </c>
      <c r="AA13" s="38">
        <f t="shared" si="7"/>
        <v>0</v>
      </c>
      <c r="AB13" s="38">
        <f t="shared" si="7"/>
        <v>0</v>
      </c>
    </row>
    <row r="14" spans="1:28" x14ac:dyDescent="0.25">
      <c r="A14" s="37" t="s">
        <v>106</v>
      </c>
      <c r="B14" s="41" t="s">
        <v>114</v>
      </c>
      <c r="C14" s="38"/>
      <c r="D14" s="38">
        <f>-D7</f>
        <v>6499.2540052194581</v>
      </c>
      <c r="E14" s="38">
        <f>-E7</f>
        <v>6499.2540052194581</v>
      </c>
      <c r="F14" s="38">
        <f>-F7</f>
        <v>6233.4468075563973</v>
      </c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</row>
    <row r="15" spans="1:28" x14ac:dyDescent="0.25">
      <c r="A15" s="37" t="s">
        <v>108</v>
      </c>
      <c r="B15" s="41" t="s">
        <v>121</v>
      </c>
      <c r="C15" s="38"/>
      <c r="D15" s="38">
        <f>-'amortizacion 75%'!E7</f>
        <v>-3377.9319334264183</v>
      </c>
      <c r="E15" s="38">
        <f>-'amortizacion 75%'!E8</f>
        <v>-3542.4372185842849</v>
      </c>
      <c r="F15" s="38">
        <f>-'amortizacion 75%'!E9</f>
        <v>-3714.9539111293398</v>
      </c>
      <c r="G15" s="38">
        <f>-'amortizacion 75%'!E10</f>
        <v>-3895.8721666013384</v>
      </c>
      <c r="H15" s="38">
        <f>-'amortizacion 75%'!E11</f>
        <v>-4085.6011411148238</v>
      </c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</row>
    <row r="16" spans="1:28" x14ac:dyDescent="0.25">
      <c r="A16" s="37" t="s">
        <v>108</v>
      </c>
      <c r="B16" s="41" t="s">
        <v>122</v>
      </c>
      <c r="C16" s="38"/>
      <c r="D16" s="38"/>
      <c r="E16" s="38">
        <f>-'amortizacion 75%'!E20</f>
        <v>-5629.5015254024802</v>
      </c>
      <c r="F16" s="38">
        <f>-'amortizacion 75%'!E29</f>
        <v>-11404.576563459776</v>
      </c>
      <c r="G16" s="38">
        <f>-'amortizacion 75%'!E38</f>
        <v>-14322.071012513841</v>
      </c>
      <c r="H16" s="38">
        <f>-'amortizacion 75%'!E47</f>
        <v>-16427.650106846966</v>
      </c>
      <c r="I16" s="38">
        <f>-'amortizacion 75%'!E56</f>
        <v>-18636.119367062282</v>
      </c>
      <c r="J16" s="38">
        <f>-'amortizacion 75%'!E65</f>
        <v>-16667.919627551124</v>
      </c>
      <c r="K16" s="38">
        <f>-'amortizacion 75%'!E74</f>
        <v>-14604.217024713937</v>
      </c>
      <c r="L16" s="38">
        <f>-'amortizacion 75%'!E83</f>
        <v>-12440.360569106741</v>
      </c>
      <c r="M16" s="38">
        <f>-'amortizacion 75%'!E92</f>
        <v>-10171.47276809964</v>
      </c>
      <c r="N16" s="38">
        <f>-'amortizacion 75%'!E101</f>
        <v>-7792.4385951716558</v>
      </c>
      <c r="O16" s="38">
        <f>-'amortizacion 75%'!E110</f>
        <v>-5297.893922010242</v>
      </c>
      <c r="P16" s="38">
        <f>-'amortizacion 75%'!E119</f>
        <v>-2682.2133872540294</v>
      </c>
      <c r="Q16" s="38">
        <f>-'amortizacion 75%'!E128</f>
        <v>0</v>
      </c>
      <c r="R16" s="38">
        <f>-'amortizacion 75%'!E137</f>
        <v>0</v>
      </c>
      <c r="S16" s="38">
        <f>-'amortizacion 75%'!E146</f>
        <v>0</v>
      </c>
      <c r="T16" s="38">
        <f>-'amortizacion 75%'!E155</f>
        <v>0</v>
      </c>
      <c r="U16" s="38">
        <f>-'amortizacion 75%'!E164</f>
        <v>0</v>
      </c>
      <c r="V16" s="38">
        <f>-'amortizacion 75%'!E173</f>
        <v>0</v>
      </c>
      <c r="W16" s="38">
        <f>-'amortizacion 75%'!E182</f>
        <v>0</v>
      </c>
      <c r="X16" s="38">
        <f>-'amortizacion 75%'!E191</f>
        <v>0</v>
      </c>
      <c r="Y16" s="38">
        <f>-'amortizacion 75%'!E200</f>
        <v>0</v>
      </c>
      <c r="Z16" s="38">
        <f>-'amortizacion 75%'!E209</f>
        <v>0</v>
      </c>
      <c r="AA16" s="38">
        <f>-'amortizacion 75%'!E218</f>
        <v>0</v>
      </c>
      <c r="AB16" s="38">
        <f>-'amortizacion 75%'!E227</f>
        <v>0</v>
      </c>
    </row>
    <row r="17" spans="1:28" x14ac:dyDescent="0.25">
      <c r="A17" s="37" t="s">
        <v>106</v>
      </c>
      <c r="B17" s="41" t="s">
        <v>123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>
        <f>Inversiones!C21*2+Inversiones!E17/2+Inversiones!F12/2+Inversiones!C22/3</f>
        <v>2989.7048637790385</v>
      </c>
    </row>
    <row r="18" spans="1:28" x14ac:dyDescent="0.25">
      <c r="A18" s="37" t="s">
        <v>108</v>
      </c>
      <c r="B18" s="41" t="s">
        <v>124</v>
      </c>
      <c r="C18" s="38">
        <f>'capital de trabajo meses'!C8</f>
        <v>-2774.7200062816437</v>
      </c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>
        <f>-C18</f>
        <v>2774.7200062816437</v>
      </c>
    </row>
    <row r="19" spans="1:28" x14ac:dyDescent="0.25">
      <c r="A19" s="37" t="s">
        <v>108</v>
      </c>
      <c r="B19" s="41" t="s">
        <v>125</v>
      </c>
      <c r="C19" s="38">
        <f>-'gastos de personal'!I27</f>
        <v>-49.242003709747621</v>
      </c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</row>
    <row r="20" spans="1:28" x14ac:dyDescent="0.25">
      <c r="A20" s="37" t="s">
        <v>108</v>
      </c>
      <c r="B20" s="41" t="s">
        <v>126</v>
      </c>
      <c r="C20" s="38">
        <f>-Inversiones!B27</f>
        <v>-19998.575591954741</v>
      </c>
      <c r="D20" s="38"/>
      <c r="E20" s="38" t="s">
        <v>127</v>
      </c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</row>
    <row r="21" spans="1:28" x14ac:dyDescent="0.25">
      <c r="A21" s="37" t="s">
        <v>108</v>
      </c>
      <c r="B21" s="41" t="s">
        <v>128</v>
      </c>
      <c r="C21" s="38">
        <f>C20*0.1</f>
        <v>-1999.8575591954741</v>
      </c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</row>
    <row r="22" spans="1:28" x14ac:dyDescent="0.25">
      <c r="A22" s="37" t="s">
        <v>110</v>
      </c>
      <c r="B22" s="17" t="s">
        <v>129</v>
      </c>
      <c r="C22" s="39">
        <f>SUM(C18:C21)</f>
        <v>-24822.395161141605</v>
      </c>
      <c r="D22" s="39">
        <f>SUM(D12:D21)</f>
        <v>-5629.5015254024784</v>
      </c>
      <c r="E22" s="39">
        <f t="shared" ref="E22:AB22" si="8">SUM(E12:E21)</f>
        <v>-11404.576563459774</v>
      </c>
      <c r="F22" s="39">
        <f t="shared" si="8"/>
        <v>-14322.071012513839</v>
      </c>
      <c r="G22" s="39">
        <f t="shared" si="8"/>
        <v>-16427.650106846962</v>
      </c>
      <c r="H22" s="39">
        <f t="shared" si="8"/>
        <v>-18636.119367062274</v>
      </c>
      <c r="I22" s="39">
        <f t="shared" si="8"/>
        <v>-16667.91962755112</v>
      </c>
      <c r="J22" s="39">
        <f t="shared" si="8"/>
        <v>-14604.217024713935</v>
      </c>
      <c r="K22" s="39">
        <f t="shared" si="8"/>
        <v>-12440.360569106739</v>
      </c>
      <c r="L22" s="39">
        <f t="shared" si="8"/>
        <v>-10171.472768099637</v>
      </c>
      <c r="M22" s="39">
        <f t="shared" si="8"/>
        <v>-7792.438595171654</v>
      </c>
      <c r="N22" s="39">
        <f t="shared" si="8"/>
        <v>-5297.8939220102402</v>
      </c>
      <c r="O22" s="39">
        <f t="shared" si="8"/>
        <v>-2682.2133872540289</v>
      </c>
      <c r="P22" s="39">
        <f t="shared" si="8"/>
        <v>60.50232555664752</v>
      </c>
      <c r="Q22" s="39">
        <f t="shared" si="8"/>
        <v>2247.040612597958</v>
      </c>
      <c r="R22" s="39">
        <f t="shared" si="8"/>
        <v>2097.0290810593433</v>
      </c>
      <c r="S22" s="39">
        <f t="shared" si="8"/>
        <v>2096.7747023479842</v>
      </c>
      <c r="T22" s="39">
        <f t="shared" si="8"/>
        <v>2096.5203236366247</v>
      </c>
      <c r="U22" s="39">
        <f t="shared" si="8"/>
        <v>2096.2659449252651</v>
      </c>
      <c r="V22" s="39">
        <f t="shared" si="8"/>
        <v>2096.011566213906</v>
      </c>
      <c r="W22" s="39">
        <f t="shared" si="8"/>
        <v>2095.7571875025465</v>
      </c>
      <c r="X22" s="39">
        <f t="shared" si="8"/>
        <v>2095.5028087911869</v>
      </c>
      <c r="Y22" s="39">
        <f t="shared" si="8"/>
        <v>2095.2484300798278</v>
      </c>
      <c r="Z22" s="39">
        <f t="shared" si="8"/>
        <v>2094.9940513684683</v>
      </c>
      <c r="AA22" s="39">
        <f t="shared" si="8"/>
        <v>2094.7396726571092</v>
      </c>
      <c r="AB22" s="39">
        <f t="shared" si="8"/>
        <v>8555.5825968224017</v>
      </c>
    </row>
    <row r="23" spans="1:28" x14ac:dyDescent="0.25">
      <c r="A23" s="37" t="s">
        <v>106</v>
      </c>
      <c r="B23" s="41" t="s">
        <v>130</v>
      </c>
      <c r="C23" s="38">
        <f>-(C22/4)*3</f>
        <v>18616.796370856202</v>
      </c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</row>
    <row r="24" spans="1:28" x14ac:dyDescent="0.25">
      <c r="A24" s="37" t="s">
        <v>106</v>
      </c>
      <c r="B24" s="41" t="s">
        <v>131</v>
      </c>
      <c r="C24" s="38"/>
      <c r="D24" s="38">
        <f>IF(D22&lt;1,(-D22),(0))</f>
        <v>5629.5015254024784</v>
      </c>
      <c r="E24" s="38">
        <f t="shared" ref="E24:AB24" si="9">IF(E22&lt;1,(-E22),(0))</f>
        <v>11404.576563459774</v>
      </c>
      <c r="F24" s="38">
        <f t="shared" si="9"/>
        <v>14322.071012513839</v>
      </c>
      <c r="G24" s="38">
        <f t="shared" si="9"/>
        <v>16427.650106846962</v>
      </c>
      <c r="H24" s="38">
        <f t="shared" si="9"/>
        <v>18636.119367062274</v>
      </c>
      <c r="I24" s="38">
        <f t="shared" si="9"/>
        <v>16667.91962755112</v>
      </c>
      <c r="J24" s="38">
        <f t="shared" si="9"/>
        <v>14604.217024713935</v>
      </c>
      <c r="K24" s="38">
        <f t="shared" si="9"/>
        <v>12440.360569106739</v>
      </c>
      <c r="L24" s="38">
        <f t="shared" si="9"/>
        <v>10171.472768099637</v>
      </c>
      <c r="M24" s="38">
        <f t="shared" si="9"/>
        <v>7792.438595171654</v>
      </c>
      <c r="N24" s="38">
        <f t="shared" si="9"/>
        <v>5297.8939220102402</v>
      </c>
      <c r="O24" s="38">
        <f t="shared" si="9"/>
        <v>2682.2133872540289</v>
      </c>
      <c r="P24" s="38">
        <f t="shared" si="9"/>
        <v>0</v>
      </c>
      <c r="Q24" s="38">
        <f t="shared" si="9"/>
        <v>0</v>
      </c>
      <c r="R24" s="38">
        <f t="shared" si="9"/>
        <v>0</v>
      </c>
      <c r="S24" s="38">
        <f t="shared" si="9"/>
        <v>0</v>
      </c>
      <c r="T24" s="38">
        <f t="shared" si="9"/>
        <v>0</v>
      </c>
      <c r="U24" s="38">
        <f t="shared" si="9"/>
        <v>0</v>
      </c>
      <c r="V24" s="38">
        <f t="shared" si="9"/>
        <v>0</v>
      </c>
      <c r="W24" s="38">
        <f t="shared" si="9"/>
        <v>0</v>
      </c>
      <c r="X24" s="38">
        <f t="shared" si="9"/>
        <v>0</v>
      </c>
      <c r="Y24" s="38">
        <f t="shared" si="9"/>
        <v>0</v>
      </c>
      <c r="Z24" s="38">
        <f t="shared" si="9"/>
        <v>0</v>
      </c>
      <c r="AA24" s="38">
        <f t="shared" si="9"/>
        <v>0</v>
      </c>
      <c r="AB24" s="38">
        <f t="shared" si="9"/>
        <v>0</v>
      </c>
    </row>
    <row r="25" spans="1:28" x14ac:dyDescent="0.25">
      <c r="A25" s="37" t="s">
        <v>110</v>
      </c>
      <c r="B25" s="17" t="s">
        <v>132</v>
      </c>
      <c r="C25" s="39">
        <f>SUM(C22:C24)</f>
        <v>-6205.5987902854031</v>
      </c>
      <c r="D25" s="39">
        <f t="shared" ref="D25:AB25" si="10">SUM(D22:D24)</f>
        <v>0</v>
      </c>
      <c r="E25" s="39">
        <f t="shared" si="10"/>
        <v>0</v>
      </c>
      <c r="F25" s="39">
        <f t="shared" si="10"/>
        <v>0</v>
      </c>
      <c r="G25" s="39">
        <f t="shared" si="10"/>
        <v>0</v>
      </c>
      <c r="H25" s="39">
        <f t="shared" si="10"/>
        <v>0</v>
      </c>
      <c r="I25" s="39">
        <f t="shared" si="10"/>
        <v>0</v>
      </c>
      <c r="J25" s="39">
        <f t="shared" si="10"/>
        <v>0</v>
      </c>
      <c r="K25" s="39">
        <f t="shared" si="10"/>
        <v>0</v>
      </c>
      <c r="L25" s="39">
        <f t="shared" si="10"/>
        <v>0</v>
      </c>
      <c r="M25" s="39">
        <f t="shared" si="10"/>
        <v>0</v>
      </c>
      <c r="N25" s="39">
        <f t="shared" si="10"/>
        <v>0</v>
      </c>
      <c r="O25" s="39">
        <f t="shared" si="10"/>
        <v>0</v>
      </c>
      <c r="P25" s="39">
        <f t="shared" si="10"/>
        <v>60.50232555664752</v>
      </c>
      <c r="Q25" s="39">
        <f t="shared" si="10"/>
        <v>2247.040612597958</v>
      </c>
      <c r="R25" s="39">
        <f t="shared" si="10"/>
        <v>2097.0290810593433</v>
      </c>
      <c r="S25" s="39">
        <f t="shared" si="10"/>
        <v>2096.7747023479842</v>
      </c>
      <c r="T25" s="39">
        <f t="shared" si="10"/>
        <v>2096.5203236366247</v>
      </c>
      <c r="U25" s="39">
        <f t="shared" si="10"/>
        <v>2096.2659449252651</v>
      </c>
      <c r="V25" s="39">
        <f t="shared" si="10"/>
        <v>2096.011566213906</v>
      </c>
      <c r="W25" s="39">
        <f t="shared" si="10"/>
        <v>2095.7571875025465</v>
      </c>
      <c r="X25" s="39">
        <f t="shared" si="10"/>
        <v>2095.5028087911869</v>
      </c>
      <c r="Y25" s="39">
        <f t="shared" si="10"/>
        <v>2095.2484300798278</v>
      </c>
      <c r="Z25" s="39">
        <f t="shared" si="10"/>
        <v>2094.9940513684683</v>
      </c>
      <c r="AA25" s="39">
        <f t="shared" si="10"/>
        <v>2094.7396726571092</v>
      </c>
      <c r="AB25" s="39">
        <f t="shared" si="10"/>
        <v>8555.5825968224017</v>
      </c>
    </row>
    <row r="26" spans="1:28" x14ac:dyDescent="0.25">
      <c r="A26" s="15"/>
      <c r="B26" s="41" t="s">
        <v>133</v>
      </c>
      <c r="C26" s="25">
        <f>C25</f>
        <v>-6205.5987902854031</v>
      </c>
      <c r="D26" s="38">
        <f>D25/(1+0.1)^D1</f>
        <v>0</v>
      </c>
      <c r="E26" s="38">
        <f t="shared" ref="E26:AB26" si="11">E25/(1+0.1)^E1</f>
        <v>0</v>
      </c>
      <c r="F26" s="38">
        <f t="shared" si="11"/>
        <v>0</v>
      </c>
      <c r="G26" s="38">
        <f t="shared" si="11"/>
        <v>0</v>
      </c>
      <c r="H26" s="38">
        <f t="shared" si="11"/>
        <v>0</v>
      </c>
      <c r="I26" s="38">
        <f t="shared" si="11"/>
        <v>0</v>
      </c>
      <c r="J26" s="38">
        <f t="shared" si="11"/>
        <v>0</v>
      </c>
      <c r="K26" s="38">
        <f t="shared" si="11"/>
        <v>0</v>
      </c>
      <c r="L26" s="38">
        <f t="shared" si="11"/>
        <v>0</v>
      </c>
      <c r="M26" s="38">
        <f t="shared" si="11"/>
        <v>0</v>
      </c>
      <c r="N26" s="38">
        <f t="shared" si="11"/>
        <v>0</v>
      </c>
      <c r="O26" s="38">
        <f t="shared" si="11"/>
        <v>0</v>
      </c>
      <c r="P26" s="38">
        <f t="shared" si="11"/>
        <v>17.525368604993457</v>
      </c>
      <c r="Q26" s="38">
        <f t="shared" si="11"/>
        <v>591.71602299212213</v>
      </c>
      <c r="R26" s="38">
        <f t="shared" si="11"/>
        <v>502.01208930152967</v>
      </c>
      <c r="S26" s="38">
        <f t="shared" si="11"/>
        <v>456.31926641863771</v>
      </c>
      <c r="T26" s="38">
        <f t="shared" si="11"/>
        <v>414.78536927229192</v>
      </c>
      <c r="U26" s="38">
        <f t="shared" si="11"/>
        <v>377.03185618215247</v>
      </c>
      <c r="V26" s="38">
        <f t="shared" si="11"/>
        <v>342.71463994086247</v>
      </c>
      <c r="W26" s="38">
        <f t="shared" si="11"/>
        <v>311.52095180805367</v>
      </c>
      <c r="X26" s="38">
        <f t="shared" si="11"/>
        <v>283.16649093955004</v>
      </c>
      <c r="Y26" s="38">
        <f t="shared" si="11"/>
        <v>257.39283327186484</v>
      </c>
      <c r="Z26" s="38">
        <f t="shared" si="11"/>
        <v>233.96507624673768</v>
      </c>
      <c r="AA26" s="38">
        <f t="shared" si="11"/>
        <v>212.66969790988279</v>
      </c>
      <c r="AB26" s="38">
        <f t="shared" si="11"/>
        <v>789.64603576004129</v>
      </c>
    </row>
    <row r="27" spans="1:28" x14ac:dyDescent="0.25">
      <c r="A27" s="15"/>
      <c r="B27" s="41" t="s">
        <v>134</v>
      </c>
      <c r="C27" s="25">
        <f>C25</f>
        <v>-6205.5987902854031</v>
      </c>
      <c r="D27" s="38">
        <f>D26+C27</f>
        <v>-6205.5987902854031</v>
      </c>
      <c r="E27" s="38">
        <f t="shared" ref="E27:AB27" si="12">E26+D27</f>
        <v>-6205.5987902854031</v>
      </c>
      <c r="F27" s="38">
        <f t="shared" si="12"/>
        <v>-6205.5987902854031</v>
      </c>
      <c r="G27" s="38">
        <f t="shared" si="12"/>
        <v>-6205.5987902854031</v>
      </c>
      <c r="H27" s="38">
        <f t="shared" si="12"/>
        <v>-6205.5987902854031</v>
      </c>
      <c r="I27" s="38">
        <f t="shared" si="12"/>
        <v>-6205.5987902854031</v>
      </c>
      <c r="J27" s="38">
        <f t="shared" si="12"/>
        <v>-6205.5987902854031</v>
      </c>
      <c r="K27" s="38">
        <f t="shared" si="12"/>
        <v>-6205.5987902854031</v>
      </c>
      <c r="L27" s="38">
        <f t="shared" si="12"/>
        <v>-6205.5987902854031</v>
      </c>
      <c r="M27" s="38">
        <f t="shared" si="12"/>
        <v>-6205.5987902854031</v>
      </c>
      <c r="N27" s="38">
        <f t="shared" si="12"/>
        <v>-6205.5987902854031</v>
      </c>
      <c r="O27" s="38">
        <f t="shared" si="12"/>
        <v>-6205.5987902854031</v>
      </c>
      <c r="P27" s="38">
        <f t="shared" si="12"/>
        <v>-6188.0734216804094</v>
      </c>
      <c r="Q27" s="38">
        <f t="shared" si="12"/>
        <v>-5596.3573986882875</v>
      </c>
      <c r="R27" s="38">
        <f t="shared" si="12"/>
        <v>-5094.3453093867574</v>
      </c>
      <c r="S27" s="38">
        <f t="shared" si="12"/>
        <v>-4638.0260429681193</v>
      </c>
      <c r="T27" s="38">
        <f t="shared" si="12"/>
        <v>-4223.2406736958274</v>
      </c>
      <c r="U27" s="38">
        <f t="shared" si="12"/>
        <v>-3846.2088175136751</v>
      </c>
      <c r="V27" s="38">
        <f t="shared" si="12"/>
        <v>-3503.4941775728125</v>
      </c>
      <c r="W27" s="38">
        <f t="shared" si="12"/>
        <v>-3191.9732257647588</v>
      </c>
      <c r="X27" s="38">
        <f t="shared" si="12"/>
        <v>-2908.8067348252089</v>
      </c>
      <c r="Y27" s="38">
        <f t="shared" si="12"/>
        <v>-2651.4139015533442</v>
      </c>
      <c r="Z27" s="38">
        <f t="shared" si="12"/>
        <v>-2417.4488253066065</v>
      </c>
      <c r="AA27" s="38">
        <f t="shared" si="12"/>
        <v>-2204.7791273967237</v>
      </c>
      <c r="AB27" s="38">
        <f t="shared" si="12"/>
        <v>-1415.1330916366824</v>
      </c>
    </row>
    <row r="29" spans="1:28" x14ac:dyDescent="0.25">
      <c r="B29" s="12" t="s">
        <v>135</v>
      </c>
      <c r="C29" s="87">
        <f>NPV(0.1,D25:AB25)+C25</f>
        <v>-1415.1330916366842</v>
      </c>
      <c r="E29" s="67"/>
      <c r="F29" s="67"/>
      <c r="G29" s="67"/>
      <c r="H29" s="67"/>
      <c r="I29" s="67"/>
    </row>
    <row r="30" spans="1:28" x14ac:dyDescent="0.25">
      <c r="B30" s="12" t="s">
        <v>139</v>
      </c>
      <c r="C30" s="88">
        <f>IRR(C25:AB25)</f>
        <v>8.5312083933859029E-2</v>
      </c>
      <c r="E30" s="136"/>
      <c r="F30" s="137"/>
      <c r="G30" s="138"/>
      <c r="H30" s="139"/>
      <c r="I30" s="67"/>
    </row>
    <row r="31" spans="1:28" x14ac:dyDescent="0.25">
      <c r="B31" s="12" t="s">
        <v>140</v>
      </c>
      <c r="C31" s="99" t="s">
        <v>142</v>
      </c>
      <c r="E31" s="136"/>
      <c r="F31" s="137"/>
      <c r="G31" s="136"/>
      <c r="H31" s="139"/>
      <c r="I31" s="67"/>
    </row>
    <row r="32" spans="1:28" x14ac:dyDescent="0.25">
      <c r="C32" s="89"/>
      <c r="E32" s="136"/>
      <c r="F32" s="137"/>
      <c r="G32" s="136"/>
      <c r="H32" s="139"/>
      <c r="I32" s="67"/>
    </row>
    <row r="33" spans="1:13" x14ac:dyDescent="0.25">
      <c r="B33" s="85" t="s">
        <v>102</v>
      </c>
      <c r="C33" s="87">
        <f>D3</f>
        <v>-1344.9316087153632</v>
      </c>
      <c r="D33" s="86"/>
      <c r="E33" s="136"/>
      <c r="F33" s="137"/>
      <c r="G33" s="136"/>
      <c r="H33" s="139"/>
      <c r="I33" s="67"/>
      <c r="K33" s="70"/>
      <c r="L33" s="70"/>
      <c r="M33" s="68"/>
    </row>
    <row r="34" spans="1:13" x14ac:dyDescent="0.25">
      <c r="B34" s="85" t="s">
        <v>161</v>
      </c>
      <c r="C34" s="87">
        <f>E3</f>
        <v>-1216.3483970830775</v>
      </c>
      <c r="D34" s="86"/>
      <c r="E34" s="140"/>
      <c r="F34" s="141"/>
      <c r="G34" s="140"/>
      <c r="H34" s="142"/>
      <c r="I34" s="143"/>
      <c r="M34" s="84"/>
    </row>
    <row r="35" spans="1:13" x14ac:dyDescent="0.25">
      <c r="E35" s="136"/>
      <c r="F35" s="137"/>
      <c r="G35" s="136"/>
      <c r="H35" s="139"/>
      <c r="I35" s="67"/>
    </row>
    <row r="36" spans="1:13" x14ac:dyDescent="0.25">
      <c r="A36" s="70"/>
      <c r="B36" s="90" t="s">
        <v>146</v>
      </c>
      <c r="C36" s="68">
        <f>C20</f>
        <v>-19998.575591954741</v>
      </c>
      <c r="E36" s="136"/>
      <c r="F36" s="137"/>
      <c r="G36" s="136"/>
      <c r="H36" s="139"/>
      <c r="I36" s="67"/>
    </row>
    <row r="37" spans="1:13" x14ac:dyDescent="0.25">
      <c r="A37" s="70"/>
      <c r="B37" s="70"/>
      <c r="C37" s="68"/>
      <c r="E37" s="65"/>
      <c r="F37" s="65"/>
      <c r="G37" s="65"/>
      <c r="H37" s="65"/>
      <c r="I37" s="65"/>
    </row>
    <row r="38" spans="1:13" ht="31.9" customHeight="1" x14ac:dyDescent="0.25">
      <c r="E38" s="144"/>
      <c r="F38" s="145"/>
      <c r="G38" s="145"/>
      <c r="H38" s="145"/>
      <c r="I38" s="145"/>
    </row>
    <row r="39" spans="1:13" x14ac:dyDescent="0.25">
      <c r="E39" s="136"/>
      <c r="F39" s="137"/>
      <c r="G39" s="136"/>
      <c r="H39" s="139"/>
      <c r="I39" s="145"/>
    </row>
    <row r="40" spans="1:13" x14ac:dyDescent="0.25">
      <c r="E40" s="136"/>
      <c r="F40" s="137"/>
      <c r="G40" s="136"/>
      <c r="H40" s="139"/>
      <c r="I40" s="145"/>
    </row>
    <row r="41" spans="1:13" x14ac:dyDescent="0.25">
      <c r="E41" s="103"/>
      <c r="F41" s="137"/>
      <c r="G41" s="136"/>
      <c r="H41" s="139"/>
      <c r="I41" s="145"/>
    </row>
    <row r="42" spans="1:13" x14ac:dyDescent="0.25">
      <c r="E42" s="140"/>
      <c r="F42" s="141"/>
      <c r="G42" s="140"/>
      <c r="H42" s="142"/>
      <c r="I42" s="146"/>
    </row>
    <row r="43" spans="1:13" x14ac:dyDescent="0.25">
      <c r="E43" s="136"/>
      <c r="F43" s="137"/>
      <c r="G43" s="136"/>
      <c r="H43" s="139"/>
      <c r="I43" s="145"/>
    </row>
    <row r="44" spans="1:13" x14ac:dyDescent="0.25">
      <c r="E44" s="136"/>
      <c r="F44" s="137"/>
      <c r="G44" s="136"/>
      <c r="H44" s="139"/>
      <c r="I44" s="145"/>
    </row>
    <row r="45" spans="1:13" x14ac:dyDescent="0.25">
      <c r="E45" s="65"/>
      <c r="F45" s="65"/>
      <c r="G45" s="65"/>
      <c r="H45" s="65"/>
      <c r="I45" s="65"/>
    </row>
    <row r="46" spans="1:13" x14ac:dyDescent="0.25">
      <c r="E46" s="144"/>
      <c r="F46" s="145"/>
      <c r="G46" s="145"/>
      <c r="H46" s="145"/>
      <c r="I46" s="145"/>
    </row>
    <row r="47" spans="1:13" x14ac:dyDescent="0.25">
      <c r="E47" s="136"/>
      <c r="F47" s="147"/>
      <c r="G47" s="136"/>
      <c r="H47" s="139"/>
      <c r="I47" s="145"/>
    </row>
    <row r="48" spans="1:13" x14ac:dyDescent="0.25">
      <c r="E48" s="136"/>
      <c r="F48" s="147"/>
      <c r="G48" s="136"/>
      <c r="H48" s="139"/>
      <c r="I48" s="145"/>
    </row>
    <row r="49" spans="5:9" x14ac:dyDescent="0.25">
      <c r="E49" s="136"/>
      <c r="F49" s="147"/>
      <c r="G49" s="136"/>
      <c r="H49" s="139"/>
      <c r="I49" s="145"/>
    </row>
    <row r="50" spans="5:9" x14ac:dyDescent="0.25">
      <c r="E50" s="140"/>
      <c r="F50" s="141"/>
      <c r="G50" s="140"/>
      <c r="H50" s="142"/>
      <c r="I50" s="146"/>
    </row>
    <row r="51" spans="5:9" x14ac:dyDescent="0.25">
      <c r="E51" s="136"/>
      <c r="F51" s="147"/>
      <c r="G51" s="136"/>
      <c r="H51" s="139"/>
      <c r="I51" s="145"/>
    </row>
    <row r="52" spans="5:9" x14ac:dyDescent="0.25">
      <c r="E52" s="136"/>
      <c r="F52" s="147"/>
      <c r="G52" s="136"/>
      <c r="H52" s="139"/>
      <c r="I52" s="145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7"/>
  <sheetViews>
    <sheetView workbookViewId="0">
      <pane ySplit="9" topLeftCell="A10" activePane="bottomLeft" state="frozen"/>
      <selection pane="bottomLeft" activeCell="G17" sqref="G17"/>
    </sheetView>
  </sheetViews>
  <sheetFormatPr baseColWidth="10" defaultColWidth="11.42578125" defaultRowHeight="15" x14ac:dyDescent="0.25"/>
  <cols>
    <col min="5" max="5" width="11.7109375" bestFit="1" customWidth="1"/>
    <col min="11" max="11" width="12.42578125" bestFit="1" customWidth="1"/>
  </cols>
  <sheetData>
    <row r="1" spans="1:11" x14ac:dyDescent="0.25">
      <c r="A1" s="15" t="s">
        <v>162</v>
      </c>
      <c r="B1" s="16">
        <f>'flujo de caja 75%'!C23</f>
        <v>18616.796370856202</v>
      </c>
      <c r="D1" s="64"/>
      <c r="E1" s="59"/>
      <c r="H1" s="159" t="s">
        <v>163</v>
      </c>
      <c r="I1" s="159" t="s">
        <v>164</v>
      </c>
      <c r="J1" s="159" t="s">
        <v>165</v>
      </c>
      <c r="K1" s="159" t="s">
        <v>166</v>
      </c>
    </row>
    <row r="2" spans="1:11" x14ac:dyDescent="0.25">
      <c r="A2" s="15" t="s">
        <v>164</v>
      </c>
      <c r="B2" s="47">
        <f>IF(B1&gt;2000,0.0487,0.0509)</f>
        <v>4.87E-2</v>
      </c>
      <c r="C2" s="11"/>
      <c r="D2" s="64"/>
      <c r="E2" s="110"/>
      <c r="H2" s="46">
        <v>2</v>
      </c>
      <c r="I2" s="108">
        <f>B15</f>
        <v>4.87E-2</v>
      </c>
      <c r="J2" s="25">
        <f>D20</f>
        <v>274.1567242871007</v>
      </c>
      <c r="K2" s="25">
        <f>E20</f>
        <v>5629.5015254024802</v>
      </c>
    </row>
    <row r="3" spans="1:11" x14ac:dyDescent="0.25">
      <c r="A3" s="15" t="s">
        <v>167</v>
      </c>
      <c r="B3" s="15">
        <v>5</v>
      </c>
      <c r="D3" s="64"/>
      <c r="E3" s="64"/>
      <c r="H3" s="46">
        <v>3</v>
      </c>
      <c r="I3" s="108">
        <f>B24</f>
        <v>4.87E-2</v>
      </c>
      <c r="J3" s="25">
        <f>D29</f>
        <v>555.40287864049094</v>
      </c>
      <c r="K3" s="25">
        <f>E29</f>
        <v>11404.576563459776</v>
      </c>
    </row>
    <row r="4" spans="1:11" x14ac:dyDescent="0.25">
      <c r="A4" s="15" t="s">
        <v>168</v>
      </c>
      <c r="B4" s="25">
        <f>PMT(B2,B3,-B1)</f>
        <v>4284.5699166871154</v>
      </c>
      <c r="D4" s="64"/>
      <c r="E4" s="60"/>
      <c r="H4" s="46">
        <v>4</v>
      </c>
      <c r="I4" s="108">
        <f>B33</f>
        <v>4.87E-2</v>
      </c>
      <c r="J4" s="25">
        <f>D38</f>
        <v>697.484858309424</v>
      </c>
      <c r="K4" s="25">
        <f>E38</f>
        <v>14322.071012513841</v>
      </c>
    </row>
    <row r="5" spans="1:11" x14ac:dyDescent="0.25">
      <c r="H5" s="46">
        <v>5</v>
      </c>
      <c r="I5" s="108">
        <f>B42</f>
        <v>4.87E-2</v>
      </c>
      <c r="J5" s="25">
        <f>D47</f>
        <v>800.02656020344705</v>
      </c>
      <c r="K5" s="25">
        <f>E47</f>
        <v>16427.650106846966</v>
      </c>
    </row>
    <row r="6" spans="1:11" x14ac:dyDescent="0.25">
      <c r="A6" s="159" t="s">
        <v>169</v>
      </c>
      <c r="B6" s="159" t="s">
        <v>170</v>
      </c>
      <c r="C6" s="159" t="s">
        <v>168</v>
      </c>
      <c r="D6" s="159" t="s">
        <v>165</v>
      </c>
      <c r="E6" s="159" t="s">
        <v>166</v>
      </c>
      <c r="F6" s="159" t="s">
        <v>171</v>
      </c>
      <c r="H6" s="46">
        <v>6</v>
      </c>
      <c r="I6" s="108">
        <f>B51</f>
        <v>4.87E-2</v>
      </c>
      <c r="J6" s="25">
        <f>D56</f>
        <v>907.5790131759328</v>
      </c>
      <c r="K6" s="25">
        <f>E56</f>
        <v>18636.119367062282</v>
      </c>
    </row>
    <row r="7" spans="1:11" x14ac:dyDescent="0.25">
      <c r="A7" s="46">
        <v>1</v>
      </c>
      <c r="B7" s="16">
        <f>B1</f>
        <v>18616.796370856202</v>
      </c>
      <c r="C7" s="25">
        <f>$B$4</f>
        <v>4284.5699166871154</v>
      </c>
      <c r="D7" s="25">
        <f>B7*$B$2</f>
        <v>906.63798326069707</v>
      </c>
      <c r="E7" s="25">
        <f>C7-D7</f>
        <v>3377.9319334264183</v>
      </c>
      <c r="F7" s="16">
        <f>B7-E7</f>
        <v>15238.864437429784</v>
      </c>
      <c r="H7" s="109">
        <v>7</v>
      </c>
      <c r="I7" s="108">
        <f>B60</f>
        <v>4.87E-2</v>
      </c>
      <c r="J7" s="25">
        <f>D65</f>
        <v>811.72768586173959</v>
      </c>
      <c r="K7" s="25">
        <f>E65</f>
        <v>16667.919627551124</v>
      </c>
    </row>
    <row r="8" spans="1:11" x14ac:dyDescent="0.25">
      <c r="A8" s="46">
        <v>2</v>
      </c>
      <c r="B8" s="16">
        <f>B7-E7</f>
        <v>15238.864437429784</v>
      </c>
      <c r="C8" s="25">
        <f>$B$4</f>
        <v>4284.5699166871154</v>
      </c>
      <c r="D8" s="25">
        <f>B8*$B$2</f>
        <v>742.13269810283043</v>
      </c>
      <c r="E8" s="25">
        <f>C8-D8</f>
        <v>3542.4372185842849</v>
      </c>
      <c r="F8" s="16">
        <f>B8-E8</f>
        <v>11696.4272188455</v>
      </c>
      <c r="H8" s="109">
        <v>8</v>
      </c>
      <c r="I8" s="108">
        <f>B69</f>
        <v>4.87E-2</v>
      </c>
      <c r="J8" s="25">
        <f>D74</f>
        <v>711.2253691035686</v>
      </c>
      <c r="K8" s="25">
        <f>E74</f>
        <v>14604.217024713937</v>
      </c>
    </row>
    <row r="9" spans="1:11" x14ac:dyDescent="0.25">
      <c r="A9" s="46">
        <v>3</v>
      </c>
      <c r="B9" s="16">
        <f>B8-E8</f>
        <v>11696.4272188455</v>
      </c>
      <c r="C9" s="25">
        <f>$B$4</f>
        <v>4284.5699166871154</v>
      </c>
      <c r="D9" s="25">
        <f>B9*$B$2</f>
        <v>569.61600555777579</v>
      </c>
      <c r="E9" s="25">
        <f>C9-D9</f>
        <v>3714.9539111293398</v>
      </c>
      <c r="F9" s="16">
        <f>B9-E9</f>
        <v>7981.47330771616</v>
      </c>
      <c r="H9" s="109">
        <v>9</v>
      </c>
      <c r="I9" s="108">
        <f>B78</f>
        <v>4.87E-2</v>
      </c>
      <c r="J9" s="25">
        <f>D83</f>
        <v>605.84555971549821</v>
      </c>
      <c r="K9" s="25">
        <f>E83</f>
        <v>12440.360569106741</v>
      </c>
    </row>
    <row r="10" spans="1:11" x14ac:dyDescent="0.25">
      <c r="A10" s="46">
        <v>4</v>
      </c>
      <c r="B10" s="16">
        <f>B9-E9</f>
        <v>7981.47330771616</v>
      </c>
      <c r="C10" s="25">
        <f>$B$4</f>
        <v>4284.5699166871154</v>
      </c>
      <c r="D10" s="25">
        <f>B10*$B$2</f>
        <v>388.69775008577699</v>
      </c>
      <c r="E10" s="25">
        <f>C10-D10</f>
        <v>3895.8721666013384</v>
      </c>
      <c r="F10" s="16">
        <f>B10-E10</f>
        <v>4085.6011411148215</v>
      </c>
      <c r="H10" s="109">
        <v>10</v>
      </c>
      <c r="I10" s="108">
        <f>B87</f>
        <v>4.87E-2</v>
      </c>
      <c r="J10" s="25">
        <f>D92</f>
        <v>495.35072380645232</v>
      </c>
      <c r="K10" s="25">
        <f>E92</f>
        <v>10171.47276809964</v>
      </c>
    </row>
    <row r="11" spans="1:11" x14ac:dyDescent="0.25">
      <c r="A11" s="46">
        <v>5</v>
      </c>
      <c r="B11" s="16">
        <f>B10-E10</f>
        <v>4085.6011411148215</v>
      </c>
      <c r="C11" s="25">
        <f>$B$4</f>
        <v>4284.5699166871154</v>
      </c>
      <c r="D11" s="25">
        <f>B11*$B$2</f>
        <v>198.9687755722918</v>
      </c>
      <c r="E11" s="25">
        <f>C11-D11</f>
        <v>4085.6011411148238</v>
      </c>
      <c r="F11" s="16">
        <f>B11-E11</f>
        <v>0</v>
      </c>
      <c r="H11" s="109">
        <v>11</v>
      </c>
      <c r="I11" s="108">
        <f>B96</f>
        <v>4.87E-2</v>
      </c>
      <c r="J11" s="25">
        <f>D101</f>
        <v>379.49175958485955</v>
      </c>
      <c r="K11" s="25">
        <f>E101</f>
        <v>7792.4385951716558</v>
      </c>
    </row>
    <row r="12" spans="1:11" x14ac:dyDescent="0.25">
      <c r="B12" s="3"/>
      <c r="C12" s="9"/>
      <c r="D12" s="9"/>
      <c r="E12" s="9"/>
      <c r="F12" s="3"/>
      <c r="H12" s="109">
        <v>12</v>
      </c>
      <c r="I12" s="108">
        <f>B105</f>
        <v>4.87E-2</v>
      </c>
      <c r="J12" s="25">
        <f>D110</f>
        <v>258.00743400189867</v>
      </c>
      <c r="K12" s="25">
        <f>E110</f>
        <v>5297.893922010242</v>
      </c>
    </row>
    <row r="13" spans="1:11" x14ac:dyDescent="0.25">
      <c r="B13" s="3"/>
      <c r="C13" s="9"/>
      <c r="D13" s="9"/>
      <c r="E13" s="9"/>
      <c r="F13" s="3"/>
      <c r="H13" s="109">
        <v>13</v>
      </c>
      <c r="I13" s="111">
        <f>B114</f>
        <v>4.87E-2</v>
      </c>
      <c r="J13" s="25">
        <f>D119</f>
        <v>130.62379195927122</v>
      </c>
      <c r="K13" s="25">
        <f>E119</f>
        <v>2682.2133872540294</v>
      </c>
    </row>
    <row r="14" spans="1:11" x14ac:dyDescent="0.25">
      <c r="A14" s="15" t="s">
        <v>162</v>
      </c>
      <c r="B14" s="16">
        <f>'flujo de caja 75%'!D24</f>
        <v>5629.5015254024784</v>
      </c>
    </row>
    <row r="15" spans="1:11" x14ac:dyDescent="0.25">
      <c r="A15" s="15" t="s">
        <v>164</v>
      </c>
      <c r="B15" s="47">
        <f>IF(B14&gt;2000,0.0487,0.0509)</f>
        <v>4.87E-2</v>
      </c>
      <c r="C15" s="11"/>
    </row>
    <row r="16" spans="1:11" x14ac:dyDescent="0.25">
      <c r="A16" s="15" t="s">
        <v>167</v>
      </c>
      <c r="B16" s="15">
        <v>1</v>
      </c>
    </row>
    <row r="17" spans="1:6" x14ac:dyDescent="0.25">
      <c r="A17" s="15" t="s">
        <v>168</v>
      </c>
      <c r="B17" s="25">
        <f>PMT(B15,B16,-B14)</f>
        <v>5903.6582496895808</v>
      </c>
    </row>
    <row r="19" spans="1:6" x14ac:dyDescent="0.25">
      <c r="A19" s="159" t="s">
        <v>169</v>
      </c>
      <c r="B19" s="159" t="s">
        <v>170</v>
      </c>
      <c r="C19" s="159" t="s">
        <v>168</v>
      </c>
      <c r="D19" s="159" t="s">
        <v>165</v>
      </c>
      <c r="E19" s="159" t="s">
        <v>166</v>
      </c>
      <c r="F19" s="159" t="s">
        <v>171</v>
      </c>
    </row>
    <row r="20" spans="1:6" x14ac:dyDescent="0.25">
      <c r="A20" s="46">
        <v>2</v>
      </c>
      <c r="B20" s="16">
        <f>B14</f>
        <v>5629.5015254024784</v>
      </c>
      <c r="C20" s="25">
        <f>$B$17</f>
        <v>5903.6582496895808</v>
      </c>
      <c r="D20" s="25">
        <f>B20*B15</f>
        <v>274.1567242871007</v>
      </c>
      <c r="E20" s="25">
        <f>C20-D20</f>
        <v>5629.5015254024802</v>
      </c>
      <c r="F20" s="16">
        <f>B20-E20</f>
        <v>0</v>
      </c>
    </row>
    <row r="21" spans="1:6" x14ac:dyDescent="0.25">
      <c r="A21" s="61"/>
      <c r="B21" s="62"/>
      <c r="C21" s="63"/>
      <c r="D21" s="63"/>
      <c r="E21" s="63"/>
      <c r="F21" s="62"/>
    </row>
    <row r="22" spans="1:6" x14ac:dyDescent="0.25">
      <c r="A22" s="58"/>
      <c r="B22" s="59"/>
      <c r="C22" s="60"/>
      <c r="D22" s="60"/>
      <c r="E22" s="60"/>
      <c r="F22" s="59"/>
    </row>
    <row r="23" spans="1:6" x14ac:dyDescent="0.25">
      <c r="A23" s="15" t="s">
        <v>162</v>
      </c>
      <c r="B23" s="16">
        <f>'flujo de caja 75%'!E24</f>
        <v>11404.576563459774</v>
      </c>
    </row>
    <row r="24" spans="1:6" x14ac:dyDescent="0.25">
      <c r="A24" s="15" t="s">
        <v>164</v>
      </c>
      <c r="B24" s="47">
        <f>IF(B23&gt;2000,0.0487,0.0509)</f>
        <v>4.87E-2</v>
      </c>
      <c r="C24" s="11"/>
    </row>
    <row r="25" spans="1:6" x14ac:dyDescent="0.25">
      <c r="A25" s="15" t="s">
        <v>167</v>
      </c>
      <c r="B25" s="15">
        <v>1</v>
      </c>
    </row>
    <row r="26" spans="1:6" x14ac:dyDescent="0.25">
      <c r="A26" s="15" t="s">
        <v>168</v>
      </c>
      <c r="B26" s="25">
        <f>PMT(B24,B25,-B23)</f>
        <v>11959.979442100266</v>
      </c>
    </row>
    <row r="28" spans="1:6" x14ac:dyDescent="0.25">
      <c r="A28" s="159" t="s">
        <v>169</v>
      </c>
      <c r="B28" s="159" t="s">
        <v>170</v>
      </c>
      <c r="C28" s="159" t="s">
        <v>168</v>
      </c>
      <c r="D28" s="159" t="s">
        <v>165</v>
      </c>
      <c r="E28" s="159" t="s">
        <v>166</v>
      </c>
      <c r="F28" s="159" t="s">
        <v>171</v>
      </c>
    </row>
    <row r="29" spans="1:6" x14ac:dyDescent="0.25">
      <c r="A29" s="46">
        <v>3</v>
      </c>
      <c r="B29" s="16">
        <f>B23</f>
        <v>11404.576563459774</v>
      </c>
      <c r="C29" s="25">
        <f>B26</f>
        <v>11959.979442100266</v>
      </c>
      <c r="D29" s="25">
        <f>B29*B24</f>
        <v>555.40287864049094</v>
      </c>
      <c r="E29" s="25">
        <f>C29-D29</f>
        <v>11404.576563459776</v>
      </c>
      <c r="F29" s="16">
        <f>B29-E29</f>
        <v>0</v>
      </c>
    </row>
    <row r="30" spans="1:6" x14ac:dyDescent="0.25">
      <c r="B30" s="3"/>
      <c r="C30" s="9"/>
      <c r="D30" s="9"/>
      <c r="E30" s="9"/>
      <c r="F30" s="3"/>
    </row>
    <row r="31" spans="1:6" x14ac:dyDescent="0.25">
      <c r="B31" s="3"/>
      <c r="C31" s="9"/>
      <c r="D31" s="9"/>
      <c r="E31" s="9"/>
      <c r="F31" s="3"/>
    </row>
    <row r="32" spans="1:6" x14ac:dyDescent="0.25">
      <c r="A32" s="15" t="s">
        <v>162</v>
      </c>
      <c r="B32" s="16">
        <f>'flujo de caja 75%'!F24</f>
        <v>14322.071012513839</v>
      </c>
    </row>
    <row r="33" spans="1:6" x14ac:dyDescent="0.25">
      <c r="A33" s="15" t="s">
        <v>164</v>
      </c>
      <c r="B33" s="47">
        <f>IF(B32&gt;2000,0.0487,0.0509)</f>
        <v>4.87E-2</v>
      </c>
      <c r="C33" s="11"/>
    </row>
    <row r="34" spans="1:6" x14ac:dyDescent="0.25">
      <c r="A34" s="15" t="s">
        <v>167</v>
      </c>
      <c r="B34" s="15">
        <v>1</v>
      </c>
    </row>
    <row r="35" spans="1:6" x14ac:dyDescent="0.25">
      <c r="A35" s="15" t="s">
        <v>168</v>
      </c>
      <c r="B35" s="25">
        <f>PMT(B33,B34,-B32)</f>
        <v>15019.555870823266</v>
      </c>
    </row>
    <row r="37" spans="1:6" x14ac:dyDescent="0.25">
      <c r="A37" s="159" t="s">
        <v>169</v>
      </c>
      <c r="B37" s="159" t="s">
        <v>170</v>
      </c>
      <c r="C37" s="159" t="s">
        <v>168</v>
      </c>
      <c r="D37" s="159" t="s">
        <v>165</v>
      </c>
      <c r="E37" s="159" t="s">
        <v>166</v>
      </c>
      <c r="F37" s="159" t="s">
        <v>171</v>
      </c>
    </row>
    <row r="38" spans="1:6" x14ac:dyDescent="0.25">
      <c r="A38" s="46">
        <v>4</v>
      </c>
      <c r="B38" s="16">
        <f>B32</f>
        <v>14322.071012513839</v>
      </c>
      <c r="C38" s="25">
        <f>B35</f>
        <v>15019.555870823266</v>
      </c>
      <c r="D38" s="25">
        <f>B38*B33</f>
        <v>697.484858309424</v>
      </c>
      <c r="E38" s="25">
        <f>C38-D38</f>
        <v>14322.071012513841</v>
      </c>
      <c r="F38" s="16">
        <f>B38-E38</f>
        <v>0</v>
      </c>
    </row>
    <row r="39" spans="1:6" x14ac:dyDescent="0.25">
      <c r="B39" s="3"/>
      <c r="C39" s="9"/>
      <c r="D39" s="9"/>
      <c r="E39" s="9"/>
      <c r="F39" s="3"/>
    </row>
    <row r="40" spans="1:6" x14ac:dyDescent="0.25">
      <c r="B40" s="3"/>
      <c r="C40" s="9"/>
      <c r="D40" s="9"/>
      <c r="E40" s="9"/>
      <c r="F40" s="3"/>
    </row>
    <row r="41" spans="1:6" x14ac:dyDescent="0.25">
      <c r="A41" s="15" t="s">
        <v>162</v>
      </c>
      <c r="B41" s="16">
        <f>'flujo de caja 75%'!G24</f>
        <v>16427.650106846962</v>
      </c>
    </row>
    <row r="42" spans="1:6" x14ac:dyDescent="0.25">
      <c r="A42" s="15" t="s">
        <v>164</v>
      </c>
      <c r="B42" s="47">
        <f>IF(B41&gt;2000,0.0487,0.0509)</f>
        <v>4.87E-2</v>
      </c>
      <c r="C42" s="11"/>
    </row>
    <row r="43" spans="1:6" x14ac:dyDescent="0.25">
      <c r="A43" s="15" t="s">
        <v>167</v>
      </c>
      <c r="B43" s="15">
        <v>1</v>
      </c>
    </row>
    <row r="44" spans="1:6" x14ac:dyDescent="0.25">
      <c r="A44" s="15" t="s">
        <v>168</v>
      </c>
      <c r="B44" s="25">
        <f>PMT(B42,B43,-B41)</f>
        <v>17227.676667050415</v>
      </c>
    </row>
    <row r="46" spans="1:6" x14ac:dyDescent="0.25">
      <c r="A46" s="159" t="s">
        <v>169</v>
      </c>
      <c r="B46" s="159" t="s">
        <v>170</v>
      </c>
      <c r="C46" s="159" t="s">
        <v>168</v>
      </c>
      <c r="D46" s="159" t="s">
        <v>165</v>
      </c>
      <c r="E46" s="159" t="s">
        <v>166</v>
      </c>
      <c r="F46" s="159" t="s">
        <v>171</v>
      </c>
    </row>
    <row r="47" spans="1:6" x14ac:dyDescent="0.25">
      <c r="A47" s="46">
        <v>5</v>
      </c>
      <c r="B47" s="16">
        <f>B41</f>
        <v>16427.650106846962</v>
      </c>
      <c r="C47" s="25">
        <f>B44</f>
        <v>17227.676667050415</v>
      </c>
      <c r="D47" s="25">
        <f>B47*B42</f>
        <v>800.02656020344705</v>
      </c>
      <c r="E47" s="25">
        <f>C47-D47</f>
        <v>16427.650106846966</v>
      </c>
      <c r="F47" s="16">
        <f>B47-E47</f>
        <v>0</v>
      </c>
    </row>
    <row r="48" spans="1:6" x14ac:dyDescent="0.25">
      <c r="B48" s="3"/>
      <c r="C48" s="9"/>
      <c r="D48" s="9"/>
      <c r="E48" s="9"/>
      <c r="F48" s="3"/>
    </row>
    <row r="49" spans="1:6" x14ac:dyDescent="0.25">
      <c r="B49" s="3"/>
      <c r="C49" s="9"/>
      <c r="D49" s="9"/>
      <c r="E49" s="9"/>
      <c r="F49" s="3"/>
    </row>
    <row r="50" spans="1:6" x14ac:dyDescent="0.25">
      <c r="A50" s="15" t="s">
        <v>162</v>
      </c>
      <c r="B50" s="16">
        <f>'flujo de caja 75%'!H24</f>
        <v>18636.119367062274</v>
      </c>
    </row>
    <row r="51" spans="1:6" x14ac:dyDescent="0.25">
      <c r="A51" s="15" t="s">
        <v>164</v>
      </c>
      <c r="B51" s="47">
        <f>IF(B50&gt;2000,0.0487,0.0509)</f>
        <v>4.87E-2</v>
      </c>
      <c r="C51" s="11"/>
    </row>
    <row r="52" spans="1:6" x14ac:dyDescent="0.25">
      <c r="A52" s="15" t="s">
        <v>167</v>
      </c>
      <c r="B52" s="15">
        <v>1</v>
      </c>
    </row>
    <row r="53" spans="1:6" x14ac:dyDescent="0.25">
      <c r="A53" s="15" t="s">
        <v>168</v>
      </c>
      <c r="B53" s="25">
        <f>PMT(B51,B52,-B50)</f>
        <v>19543.698380238213</v>
      </c>
    </row>
    <row r="55" spans="1:6" x14ac:dyDescent="0.25">
      <c r="A55" s="159" t="s">
        <v>169</v>
      </c>
      <c r="B55" s="159" t="s">
        <v>170</v>
      </c>
      <c r="C55" s="159" t="s">
        <v>168</v>
      </c>
      <c r="D55" s="159" t="s">
        <v>165</v>
      </c>
      <c r="E55" s="159" t="s">
        <v>166</v>
      </c>
      <c r="F55" s="159" t="s">
        <v>171</v>
      </c>
    </row>
    <row r="56" spans="1:6" x14ac:dyDescent="0.25">
      <c r="A56" s="46">
        <v>6</v>
      </c>
      <c r="B56" s="16">
        <f>B50</f>
        <v>18636.119367062274</v>
      </c>
      <c r="C56" s="25">
        <f>B53</f>
        <v>19543.698380238213</v>
      </c>
      <c r="D56" s="25">
        <f>B56*B51</f>
        <v>907.5790131759328</v>
      </c>
      <c r="E56" s="25">
        <f>C56-D56</f>
        <v>18636.119367062282</v>
      </c>
      <c r="F56" s="16">
        <f>B56-E56</f>
        <v>0</v>
      </c>
    </row>
    <row r="57" spans="1:6" x14ac:dyDescent="0.25">
      <c r="B57" s="3"/>
      <c r="C57" s="9"/>
      <c r="D57" s="9"/>
      <c r="E57" s="9"/>
      <c r="F57" s="3"/>
    </row>
    <row r="58" spans="1:6" x14ac:dyDescent="0.25">
      <c r="B58" s="3"/>
      <c r="C58" s="9"/>
      <c r="D58" s="9"/>
      <c r="E58" s="9"/>
      <c r="F58" s="3"/>
    </row>
    <row r="59" spans="1:6" x14ac:dyDescent="0.25">
      <c r="A59" s="15" t="s">
        <v>162</v>
      </c>
      <c r="B59" s="16">
        <f>'flujo de caja 75%'!I24</f>
        <v>16667.91962755112</v>
      </c>
    </row>
    <row r="60" spans="1:6" x14ac:dyDescent="0.25">
      <c r="A60" s="15" t="s">
        <v>164</v>
      </c>
      <c r="B60" s="47">
        <f>IF(B59&gt;2000,0.0487,0.0509)</f>
        <v>4.87E-2</v>
      </c>
      <c r="C60" s="11"/>
    </row>
    <row r="61" spans="1:6" x14ac:dyDescent="0.25">
      <c r="A61" s="15" t="s">
        <v>167</v>
      </c>
      <c r="B61" s="15">
        <v>1</v>
      </c>
    </row>
    <row r="62" spans="1:6" x14ac:dyDescent="0.25">
      <c r="A62" s="15" t="s">
        <v>168</v>
      </c>
      <c r="B62" s="25">
        <f>PMT(B60,B61,-B59)</f>
        <v>17479.647313412865</v>
      </c>
    </row>
    <row r="64" spans="1:6" x14ac:dyDescent="0.25">
      <c r="A64" s="159" t="s">
        <v>169</v>
      </c>
      <c r="B64" s="159" t="s">
        <v>170</v>
      </c>
      <c r="C64" s="159" t="s">
        <v>168</v>
      </c>
      <c r="D64" s="159" t="s">
        <v>165</v>
      </c>
      <c r="E64" s="159" t="s">
        <v>166</v>
      </c>
      <c r="F64" s="159" t="s">
        <v>171</v>
      </c>
    </row>
    <row r="65" spans="1:6" x14ac:dyDescent="0.25">
      <c r="A65" s="46">
        <v>7</v>
      </c>
      <c r="B65" s="16">
        <f>B59</f>
        <v>16667.91962755112</v>
      </c>
      <c r="C65" s="25">
        <f>B62</f>
        <v>17479.647313412865</v>
      </c>
      <c r="D65" s="25">
        <f>B65*B60</f>
        <v>811.72768586173959</v>
      </c>
      <c r="E65" s="25">
        <f>C65-D65</f>
        <v>16667.919627551124</v>
      </c>
      <c r="F65" s="16">
        <f>B65-E65</f>
        <v>0</v>
      </c>
    </row>
    <row r="66" spans="1:6" x14ac:dyDescent="0.25">
      <c r="B66" s="3"/>
      <c r="C66" s="9"/>
      <c r="D66" s="9"/>
      <c r="E66" s="9"/>
      <c r="F66" s="3"/>
    </row>
    <row r="68" spans="1:6" x14ac:dyDescent="0.25">
      <c r="A68" s="15" t="s">
        <v>162</v>
      </c>
      <c r="B68" s="16">
        <f>'flujo de caja 75%'!J24</f>
        <v>14604.217024713935</v>
      </c>
    </row>
    <row r="69" spans="1:6" x14ac:dyDescent="0.25">
      <c r="A69" s="15" t="s">
        <v>164</v>
      </c>
      <c r="B69" s="47">
        <f>IF(B68&gt;2000,0.0487,0.0509)</f>
        <v>4.87E-2</v>
      </c>
      <c r="C69" s="11"/>
    </row>
    <row r="70" spans="1:6" x14ac:dyDescent="0.25">
      <c r="A70" s="15" t="s">
        <v>167</v>
      </c>
      <c r="B70" s="15">
        <v>1</v>
      </c>
    </row>
    <row r="71" spans="1:6" x14ac:dyDescent="0.25">
      <c r="A71" s="15" t="s">
        <v>168</v>
      </c>
      <c r="B71" s="25">
        <f>PMT(B69,B70,-B68)</f>
        <v>15315.442393817506</v>
      </c>
    </row>
    <row r="73" spans="1:6" x14ac:dyDescent="0.25">
      <c r="A73" s="159" t="s">
        <v>169</v>
      </c>
      <c r="B73" s="159" t="s">
        <v>170</v>
      </c>
      <c r="C73" s="159" t="s">
        <v>168</v>
      </c>
      <c r="D73" s="159" t="s">
        <v>165</v>
      </c>
      <c r="E73" s="159" t="s">
        <v>166</v>
      </c>
      <c r="F73" s="159" t="s">
        <v>171</v>
      </c>
    </row>
    <row r="74" spans="1:6" x14ac:dyDescent="0.25">
      <c r="A74" s="46">
        <v>8</v>
      </c>
      <c r="B74" s="16">
        <f>B68</f>
        <v>14604.217024713935</v>
      </c>
      <c r="C74" s="25">
        <f>B71</f>
        <v>15315.442393817506</v>
      </c>
      <c r="D74" s="25">
        <f>B74*B69</f>
        <v>711.2253691035686</v>
      </c>
      <c r="E74" s="25">
        <f>C74-D74</f>
        <v>14604.217024713937</v>
      </c>
      <c r="F74" s="16">
        <f>B74-E74</f>
        <v>0</v>
      </c>
    </row>
    <row r="77" spans="1:6" x14ac:dyDescent="0.25">
      <c r="A77" s="15" t="s">
        <v>162</v>
      </c>
      <c r="B77" s="16">
        <f>'flujo de caja 75%'!K24</f>
        <v>12440.360569106739</v>
      </c>
    </row>
    <row r="78" spans="1:6" x14ac:dyDescent="0.25">
      <c r="A78" s="15" t="s">
        <v>164</v>
      </c>
      <c r="B78" s="47">
        <f>IF(B77&gt;2000,0.0487,0.0509)</f>
        <v>4.87E-2</v>
      </c>
      <c r="C78" s="11"/>
    </row>
    <row r="79" spans="1:6" x14ac:dyDescent="0.25">
      <c r="A79" s="15" t="s">
        <v>167</v>
      </c>
      <c r="B79" s="15">
        <v>1</v>
      </c>
    </row>
    <row r="80" spans="1:6" x14ac:dyDescent="0.25">
      <c r="A80" s="15" t="s">
        <v>168</v>
      </c>
      <c r="B80" s="25">
        <f>PMT(B78,B79,-B77)</f>
        <v>13046.206128822239</v>
      </c>
    </row>
    <row r="82" spans="1:6" x14ac:dyDescent="0.25">
      <c r="A82" s="159" t="s">
        <v>169</v>
      </c>
      <c r="B82" s="159" t="s">
        <v>170</v>
      </c>
      <c r="C82" s="159" t="s">
        <v>168</v>
      </c>
      <c r="D82" s="159" t="s">
        <v>165</v>
      </c>
      <c r="E82" s="159" t="s">
        <v>166</v>
      </c>
      <c r="F82" s="159" t="s">
        <v>171</v>
      </c>
    </row>
    <row r="83" spans="1:6" x14ac:dyDescent="0.25">
      <c r="A83" s="46">
        <v>9</v>
      </c>
      <c r="B83" s="16">
        <f>B77</f>
        <v>12440.360569106739</v>
      </c>
      <c r="C83" s="25">
        <f>B80</f>
        <v>13046.206128822239</v>
      </c>
      <c r="D83" s="25">
        <f>B83*B78</f>
        <v>605.84555971549821</v>
      </c>
      <c r="E83" s="25">
        <f>C83-D83</f>
        <v>12440.360569106741</v>
      </c>
      <c r="F83" s="16">
        <f>B83-E83</f>
        <v>0</v>
      </c>
    </row>
    <row r="86" spans="1:6" x14ac:dyDescent="0.25">
      <c r="A86" s="15" t="s">
        <v>162</v>
      </c>
      <c r="B86" s="16">
        <f>'flujo de caja 75%'!L24</f>
        <v>10171.472768099637</v>
      </c>
    </row>
    <row r="87" spans="1:6" x14ac:dyDescent="0.25">
      <c r="A87" s="15" t="s">
        <v>164</v>
      </c>
      <c r="B87" s="47">
        <f>IF(B86&gt;2000,0.0487,0.0509)</f>
        <v>4.87E-2</v>
      </c>
      <c r="C87" s="11"/>
    </row>
    <row r="88" spans="1:6" x14ac:dyDescent="0.25">
      <c r="A88" s="15" t="s">
        <v>167</v>
      </c>
      <c r="B88" s="15">
        <v>1</v>
      </c>
    </row>
    <row r="89" spans="1:6" x14ac:dyDescent="0.25">
      <c r="A89" s="15" t="s">
        <v>168</v>
      </c>
      <c r="B89" s="25">
        <f>PMT(B87,B88,-B86)</f>
        <v>10666.823491906092</v>
      </c>
    </row>
    <row r="91" spans="1:6" x14ac:dyDescent="0.25">
      <c r="A91" s="159" t="s">
        <v>169</v>
      </c>
      <c r="B91" s="159" t="s">
        <v>170</v>
      </c>
      <c r="C91" s="159" t="s">
        <v>168</v>
      </c>
      <c r="D91" s="159" t="s">
        <v>165</v>
      </c>
      <c r="E91" s="159" t="s">
        <v>166</v>
      </c>
      <c r="F91" s="159" t="s">
        <v>171</v>
      </c>
    </row>
    <row r="92" spans="1:6" x14ac:dyDescent="0.25">
      <c r="A92" s="46">
        <v>10</v>
      </c>
      <c r="B92" s="16">
        <f>B86</f>
        <v>10171.472768099637</v>
      </c>
      <c r="C92" s="25">
        <f>B89</f>
        <v>10666.823491906092</v>
      </c>
      <c r="D92" s="25">
        <f>B92*B87</f>
        <v>495.35072380645232</v>
      </c>
      <c r="E92" s="25">
        <f>C92-D92</f>
        <v>10171.47276809964</v>
      </c>
      <c r="F92" s="16">
        <f>B92-E92</f>
        <v>0</v>
      </c>
    </row>
    <row r="95" spans="1:6" x14ac:dyDescent="0.25">
      <c r="A95" s="15" t="s">
        <v>162</v>
      </c>
      <c r="B95" s="16">
        <f>'flujo de caja 75%'!M24</f>
        <v>7792.438595171654</v>
      </c>
    </row>
    <row r="96" spans="1:6" x14ac:dyDescent="0.25">
      <c r="A96" s="15" t="s">
        <v>164</v>
      </c>
      <c r="B96" s="47">
        <f>IF(B95&gt;2000,0.0487,0.0509)</f>
        <v>4.87E-2</v>
      </c>
      <c r="C96" s="11"/>
    </row>
    <row r="97" spans="1:6" x14ac:dyDescent="0.25">
      <c r="A97" s="15" t="s">
        <v>167</v>
      </c>
      <c r="B97" s="15">
        <v>1</v>
      </c>
    </row>
    <row r="98" spans="1:6" x14ac:dyDescent="0.25">
      <c r="A98" s="15" t="s">
        <v>168</v>
      </c>
      <c r="B98" s="25">
        <f>PMT(B96,B97,-B95)</f>
        <v>8171.930354756515</v>
      </c>
    </row>
    <row r="100" spans="1:6" x14ac:dyDescent="0.25">
      <c r="A100" s="159" t="s">
        <v>169</v>
      </c>
      <c r="B100" s="159" t="s">
        <v>170</v>
      </c>
      <c r="C100" s="159" t="s">
        <v>168</v>
      </c>
      <c r="D100" s="159" t="s">
        <v>165</v>
      </c>
      <c r="E100" s="159" t="s">
        <v>166</v>
      </c>
      <c r="F100" s="159" t="s">
        <v>171</v>
      </c>
    </row>
    <row r="101" spans="1:6" x14ac:dyDescent="0.25">
      <c r="A101" s="46">
        <v>11</v>
      </c>
      <c r="B101" s="16">
        <f>B95</f>
        <v>7792.438595171654</v>
      </c>
      <c r="C101" s="25">
        <f>B98</f>
        <v>8171.930354756515</v>
      </c>
      <c r="D101" s="25">
        <f>B101*B96</f>
        <v>379.49175958485955</v>
      </c>
      <c r="E101" s="25">
        <f>C101-D101</f>
        <v>7792.4385951716558</v>
      </c>
      <c r="F101" s="16">
        <f>B101-E101</f>
        <v>0</v>
      </c>
    </row>
    <row r="104" spans="1:6" x14ac:dyDescent="0.25">
      <c r="A104" s="15" t="s">
        <v>162</v>
      </c>
      <c r="B104" s="16">
        <f>'flujo de caja 75%'!N24</f>
        <v>5297.8939220102402</v>
      </c>
    </row>
    <row r="105" spans="1:6" x14ac:dyDescent="0.25">
      <c r="A105" s="15" t="s">
        <v>164</v>
      </c>
      <c r="B105" s="47">
        <f>IF(B104&gt;2000,0.0487,0.0509)</f>
        <v>4.87E-2</v>
      </c>
      <c r="C105" s="11"/>
    </row>
    <row r="106" spans="1:6" x14ac:dyDescent="0.25">
      <c r="A106" s="15" t="s">
        <v>167</v>
      </c>
      <c r="B106" s="15">
        <v>1</v>
      </c>
    </row>
    <row r="107" spans="1:6" x14ac:dyDescent="0.25">
      <c r="A107" s="15" t="s">
        <v>168</v>
      </c>
      <c r="B107" s="25">
        <f>PMT(B105,B106,-B104)</f>
        <v>5555.9013560121402</v>
      </c>
    </row>
    <row r="109" spans="1:6" x14ac:dyDescent="0.25">
      <c r="A109" s="159" t="s">
        <v>169</v>
      </c>
      <c r="B109" s="159" t="s">
        <v>170</v>
      </c>
      <c r="C109" s="159" t="s">
        <v>168</v>
      </c>
      <c r="D109" s="159" t="s">
        <v>165</v>
      </c>
      <c r="E109" s="159" t="s">
        <v>166</v>
      </c>
      <c r="F109" s="159" t="s">
        <v>171</v>
      </c>
    </row>
    <row r="110" spans="1:6" x14ac:dyDescent="0.25">
      <c r="A110" s="46">
        <v>12</v>
      </c>
      <c r="B110" s="16">
        <f>B104</f>
        <v>5297.8939220102402</v>
      </c>
      <c r="C110" s="25">
        <f>B107</f>
        <v>5555.9013560121402</v>
      </c>
      <c r="D110" s="25">
        <f>B110*B105</f>
        <v>258.00743400189867</v>
      </c>
      <c r="E110" s="25">
        <f>C110-D110</f>
        <v>5297.893922010242</v>
      </c>
      <c r="F110" s="16">
        <f>B110-E110</f>
        <v>0</v>
      </c>
    </row>
    <row r="113" spans="1:6" x14ac:dyDescent="0.25">
      <c r="A113" s="15" t="s">
        <v>162</v>
      </c>
      <c r="B113" s="16">
        <f>'flujo de caja 75%'!O24</f>
        <v>2682.2133872540289</v>
      </c>
    </row>
    <row r="114" spans="1:6" x14ac:dyDescent="0.25">
      <c r="A114" s="15" t="s">
        <v>164</v>
      </c>
      <c r="B114" s="47">
        <f>IF(B113&gt;2000,0.0487,0.0509)</f>
        <v>4.87E-2</v>
      </c>
      <c r="C114" s="11"/>
    </row>
    <row r="115" spans="1:6" x14ac:dyDescent="0.25">
      <c r="A115" s="15" t="s">
        <v>167</v>
      </c>
      <c r="B115" s="15">
        <v>1</v>
      </c>
    </row>
    <row r="116" spans="1:6" x14ac:dyDescent="0.25">
      <c r="A116" s="15" t="s">
        <v>168</v>
      </c>
      <c r="B116" s="25">
        <f>PMT(B114,B115,-B113)</f>
        <v>2812.8371792133007</v>
      </c>
    </row>
    <row r="118" spans="1:6" x14ac:dyDescent="0.25">
      <c r="A118" s="159" t="s">
        <v>169</v>
      </c>
      <c r="B118" s="159" t="s">
        <v>170</v>
      </c>
      <c r="C118" s="159" t="s">
        <v>168</v>
      </c>
      <c r="D118" s="159" t="s">
        <v>165</v>
      </c>
      <c r="E118" s="159" t="s">
        <v>166</v>
      </c>
      <c r="F118" s="159" t="s">
        <v>171</v>
      </c>
    </row>
    <row r="119" spans="1:6" x14ac:dyDescent="0.25">
      <c r="A119" s="46">
        <v>13</v>
      </c>
      <c r="B119" s="16">
        <f>B113</f>
        <v>2682.2133872540289</v>
      </c>
      <c r="C119" s="25">
        <f>B116</f>
        <v>2812.8371792133007</v>
      </c>
      <c r="D119" s="25">
        <f>B119*B114</f>
        <v>130.62379195927122</v>
      </c>
      <c r="E119" s="25">
        <f>C119-D119</f>
        <v>2682.2133872540294</v>
      </c>
      <c r="F119" s="16">
        <f>B119-E119</f>
        <v>0</v>
      </c>
    </row>
    <row r="122" spans="1:6" x14ac:dyDescent="0.25">
      <c r="A122" s="15" t="s">
        <v>162</v>
      </c>
      <c r="B122" s="16">
        <f>'cambio datos sensi'!P24</f>
        <v>0</v>
      </c>
    </row>
    <row r="123" spans="1:6" x14ac:dyDescent="0.25">
      <c r="A123" s="15" t="s">
        <v>164</v>
      </c>
      <c r="B123" s="47">
        <f>IF(B122&gt;2000,0.0487,0.0509)</f>
        <v>5.0900000000000001E-2</v>
      </c>
      <c r="C123" s="11"/>
    </row>
    <row r="124" spans="1:6" x14ac:dyDescent="0.25">
      <c r="A124" s="15" t="s">
        <v>167</v>
      </c>
      <c r="B124" s="15">
        <v>1</v>
      </c>
    </row>
    <row r="125" spans="1:6" x14ac:dyDescent="0.25">
      <c r="A125" s="15" t="s">
        <v>168</v>
      </c>
      <c r="B125" s="25">
        <f>PMT(B123,B124,-B122)</f>
        <v>0</v>
      </c>
    </row>
    <row r="127" spans="1:6" x14ac:dyDescent="0.25">
      <c r="A127" s="159" t="s">
        <v>169</v>
      </c>
      <c r="B127" s="159" t="s">
        <v>170</v>
      </c>
      <c r="C127" s="159" t="s">
        <v>168</v>
      </c>
      <c r="D127" s="159" t="s">
        <v>165</v>
      </c>
      <c r="E127" s="159" t="s">
        <v>166</v>
      </c>
      <c r="F127" s="159" t="s">
        <v>171</v>
      </c>
    </row>
    <row r="128" spans="1:6" x14ac:dyDescent="0.25">
      <c r="A128" s="46">
        <v>14</v>
      </c>
      <c r="B128" s="16">
        <f>B122</f>
        <v>0</v>
      </c>
      <c r="C128" s="25">
        <f>B125</f>
        <v>0</v>
      </c>
      <c r="D128" s="25">
        <f>B128*B123</f>
        <v>0</v>
      </c>
      <c r="E128" s="25">
        <f>C128-D128</f>
        <v>0</v>
      </c>
      <c r="F128" s="16">
        <f>B128-E128</f>
        <v>0</v>
      </c>
    </row>
    <row r="131" spans="1:6" x14ac:dyDescent="0.25">
      <c r="A131" s="15" t="s">
        <v>162</v>
      </c>
      <c r="B131" s="16">
        <f>'cambio datos sensi'!Q24</f>
        <v>0</v>
      </c>
    </row>
    <row r="132" spans="1:6" x14ac:dyDescent="0.25">
      <c r="A132" s="15" t="s">
        <v>164</v>
      </c>
      <c r="B132" s="47">
        <f>IF(B131&gt;2000,0.0486,0.0563)</f>
        <v>5.6300000000000003E-2</v>
      </c>
      <c r="C132" s="11"/>
    </row>
    <row r="133" spans="1:6" x14ac:dyDescent="0.25">
      <c r="A133" s="15" t="s">
        <v>167</v>
      </c>
      <c r="B133" s="15">
        <v>1</v>
      </c>
    </row>
    <row r="134" spans="1:6" x14ac:dyDescent="0.25">
      <c r="A134" s="15" t="s">
        <v>168</v>
      </c>
      <c r="B134" s="25">
        <f>PMT(B132,B133,-B131)</f>
        <v>0</v>
      </c>
    </row>
    <row r="136" spans="1:6" x14ac:dyDescent="0.25">
      <c r="A136" s="159" t="s">
        <v>169</v>
      </c>
      <c r="B136" s="159" t="s">
        <v>170</v>
      </c>
      <c r="C136" s="159" t="s">
        <v>168</v>
      </c>
      <c r="D136" s="159" t="s">
        <v>165</v>
      </c>
      <c r="E136" s="159" t="s">
        <v>166</v>
      </c>
      <c r="F136" s="159" t="s">
        <v>171</v>
      </c>
    </row>
    <row r="137" spans="1:6" x14ac:dyDescent="0.25">
      <c r="A137" s="46">
        <v>15</v>
      </c>
      <c r="B137" s="16">
        <f>B131</f>
        <v>0</v>
      </c>
      <c r="C137" s="25">
        <f>B134</f>
        <v>0</v>
      </c>
      <c r="D137" s="25">
        <f>B137*B132</f>
        <v>0</v>
      </c>
      <c r="E137" s="25">
        <f>C137-D137</f>
        <v>0</v>
      </c>
      <c r="F137" s="16">
        <f>B137-E137</f>
        <v>0</v>
      </c>
    </row>
    <row r="140" spans="1:6" x14ac:dyDescent="0.25">
      <c r="A140" s="15" t="s">
        <v>162</v>
      </c>
      <c r="B140" s="16">
        <f>'cambio datos sensi'!R24</f>
        <v>0</v>
      </c>
    </row>
    <row r="141" spans="1:6" x14ac:dyDescent="0.25">
      <c r="A141" s="15" t="s">
        <v>164</v>
      </c>
      <c r="B141" s="47">
        <f>IF(B140&gt;2000,0.0486,0.0563)</f>
        <v>5.6300000000000003E-2</v>
      </c>
      <c r="C141" s="11"/>
    </row>
    <row r="142" spans="1:6" x14ac:dyDescent="0.25">
      <c r="A142" s="15" t="s">
        <v>167</v>
      </c>
      <c r="B142" s="15">
        <v>1</v>
      </c>
    </row>
    <row r="143" spans="1:6" x14ac:dyDescent="0.25">
      <c r="A143" s="15" t="s">
        <v>168</v>
      </c>
      <c r="B143" s="25">
        <f>PMT(B141,B142,-B140)</f>
        <v>0</v>
      </c>
    </row>
    <row r="145" spans="1:6" x14ac:dyDescent="0.25">
      <c r="A145" s="159" t="s">
        <v>169</v>
      </c>
      <c r="B145" s="159" t="s">
        <v>170</v>
      </c>
      <c r="C145" s="159" t="s">
        <v>168</v>
      </c>
      <c r="D145" s="159" t="s">
        <v>165</v>
      </c>
      <c r="E145" s="159" t="s">
        <v>166</v>
      </c>
      <c r="F145" s="159" t="s">
        <v>171</v>
      </c>
    </row>
    <row r="146" spans="1:6" x14ac:dyDescent="0.25">
      <c r="A146" s="46">
        <v>16</v>
      </c>
      <c r="B146" s="16">
        <f>B140</f>
        <v>0</v>
      </c>
      <c r="C146" s="25">
        <f>B143</f>
        <v>0</v>
      </c>
      <c r="D146" s="25">
        <f>B146*B141</f>
        <v>0</v>
      </c>
      <c r="E146" s="25">
        <f>C146-D146</f>
        <v>0</v>
      </c>
      <c r="F146" s="16">
        <f>B146-E146</f>
        <v>0</v>
      </c>
    </row>
    <row r="149" spans="1:6" x14ac:dyDescent="0.25">
      <c r="A149" s="15" t="s">
        <v>162</v>
      </c>
      <c r="B149" s="16">
        <f>'cambio datos sensi'!S24</f>
        <v>0</v>
      </c>
    </row>
    <row r="150" spans="1:6" x14ac:dyDescent="0.25">
      <c r="A150" s="15" t="s">
        <v>164</v>
      </c>
      <c r="B150" s="47">
        <f>IF(B149&gt;2000,0.0486,0.0563)</f>
        <v>5.6300000000000003E-2</v>
      </c>
      <c r="C150" s="11"/>
    </row>
    <row r="151" spans="1:6" x14ac:dyDescent="0.25">
      <c r="A151" s="15" t="s">
        <v>167</v>
      </c>
      <c r="B151" s="15">
        <v>1</v>
      </c>
    </row>
    <row r="152" spans="1:6" x14ac:dyDescent="0.25">
      <c r="A152" s="15" t="s">
        <v>168</v>
      </c>
      <c r="B152" s="25">
        <f>PMT(B150,B151,-B149)</f>
        <v>0</v>
      </c>
    </row>
    <row r="154" spans="1:6" x14ac:dyDescent="0.25">
      <c r="A154" s="159" t="s">
        <v>169</v>
      </c>
      <c r="B154" s="159" t="s">
        <v>170</v>
      </c>
      <c r="C154" s="159" t="s">
        <v>168</v>
      </c>
      <c r="D154" s="159" t="s">
        <v>165</v>
      </c>
      <c r="E154" s="159" t="s">
        <v>166</v>
      </c>
      <c r="F154" s="159" t="s">
        <v>171</v>
      </c>
    </row>
    <row r="155" spans="1:6" x14ac:dyDescent="0.25">
      <c r="A155" s="46">
        <v>17</v>
      </c>
      <c r="B155" s="16">
        <f>B149</f>
        <v>0</v>
      </c>
      <c r="C155" s="25">
        <f>B152</f>
        <v>0</v>
      </c>
      <c r="D155" s="25">
        <f>B155*B150</f>
        <v>0</v>
      </c>
      <c r="E155" s="25">
        <f>C155-D155</f>
        <v>0</v>
      </c>
      <c r="F155" s="16">
        <f>B155-E155</f>
        <v>0</v>
      </c>
    </row>
    <row r="158" spans="1:6" x14ac:dyDescent="0.25">
      <c r="A158" s="15" t="s">
        <v>162</v>
      </c>
      <c r="B158" s="16">
        <f>'flujo de caja 75%'!T24</f>
        <v>0</v>
      </c>
    </row>
    <row r="159" spans="1:6" x14ac:dyDescent="0.25">
      <c r="A159" s="15" t="s">
        <v>164</v>
      </c>
      <c r="B159" s="47">
        <f>IF(B158&gt;2000,0.0486,0.0563)</f>
        <v>5.6300000000000003E-2</v>
      </c>
      <c r="C159" s="11"/>
    </row>
    <row r="160" spans="1:6" x14ac:dyDescent="0.25">
      <c r="A160" s="15" t="s">
        <v>167</v>
      </c>
      <c r="B160" s="15">
        <v>1</v>
      </c>
    </row>
    <row r="161" spans="1:6" x14ac:dyDescent="0.25">
      <c r="A161" s="15" t="s">
        <v>168</v>
      </c>
      <c r="B161" s="25">
        <f>PMT(B159,B160,-B158)</f>
        <v>0</v>
      </c>
    </row>
    <row r="163" spans="1:6" x14ac:dyDescent="0.25">
      <c r="A163" s="159" t="s">
        <v>169</v>
      </c>
      <c r="B163" s="159" t="s">
        <v>170</v>
      </c>
      <c r="C163" s="159" t="s">
        <v>168</v>
      </c>
      <c r="D163" s="159" t="s">
        <v>165</v>
      </c>
      <c r="E163" s="159" t="s">
        <v>166</v>
      </c>
      <c r="F163" s="159" t="s">
        <v>171</v>
      </c>
    </row>
    <row r="164" spans="1:6" x14ac:dyDescent="0.25">
      <c r="A164" s="46">
        <v>18</v>
      </c>
      <c r="B164" s="16">
        <f>B158</f>
        <v>0</v>
      </c>
      <c r="C164" s="25">
        <f>B161</f>
        <v>0</v>
      </c>
      <c r="D164" s="25">
        <f>B164*B159</f>
        <v>0</v>
      </c>
      <c r="E164" s="25">
        <f>C164-D164</f>
        <v>0</v>
      </c>
      <c r="F164" s="16">
        <f>B164-E164</f>
        <v>0</v>
      </c>
    </row>
    <row r="167" spans="1:6" x14ac:dyDescent="0.25">
      <c r="A167" s="15" t="s">
        <v>162</v>
      </c>
      <c r="B167" s="16">
        <f>'flujo de caja 75%'!U24</f>
        <v>0</v>
      </c>
    </row>
    <row r="168" spans="1:6" x14ac:dyDescent="0.25">
      <c r="A168" s="15" t="s">
        <v>164</v>
      </c>
      <c r="B168" s="47">
        <f>IF(B167&gt;2000,0.0486,0.0563)</f>
        <v>5.6300000000000003E-2</v>
      </c>
      <c r="C168" s="11"/>
    </row>
    <row r="169" spans="1:6" x14ac:dyDescent="0.25">
      <c r="A169" s="15" t="s">
        <v>167</v>
      </c>
      <c r="B169" s="15">
        <v>1</v>
      </c>
    </row>
    <row r="170" spans="1:6" x14ac:dyDescent="0.25">
      <c r="A170" s="15" t="s">
        <v>168</v>
      </c>
      <c r="B170" s="25">
        <f>PMT(B168,B169,-B167)</f>
        <v>0</v>
      </c>
    </row>
    <row r="172" spans="1:6" x14ac:dyDescent="0.25">
      <c r="A172" s="159" t="s">
        <v>169</v>
      </c>
      <c r="B172" s="159" t="s">
        <v>170</v>
      </c>
      <c r="C172" s="159" t="s">
        <v>168</v>
      </c>
      <c r="D172" s="159" t="s">
        <v>165</v>
      </c>
      <c r="E172" s="159" t="s">
        <v>166</v>
      </c>
      <c r="F172" s="159" t="s">
        <v>171</v>
      </c>
    </row>
    <row r="173" spans="1:6" x14ac:dyDescent="0.25">
      <c r="A173" s="46">
        <v>19</v>
      </c>
      <c r="B173" s="16">
        <f>B167</f>
        <v>0</v>
      </c>
      <c r="C173" s="25">
        <f>B170</f>
        <v>0</v>
      </c>
      <c r="D173" s="25">
        <f>B173*B168</f>
        <v>0</v>
      </c>
      <c r="E173" s="25">
        <f>C173-D173</f>
        <v>0</v>
      </c>
      <c r="F173" s="16">
        <f>B173-E173</f>
        <v>0</v>
      </c>
    </row>
    <row r="176" spans="1:6" x14ac:dyDescent="0.25">
      <c r="A176" s="15" t="s">
        <v>162</v>
      </c>
      <c r="B176" s="16">
        <f>'flujo de caja 75%'!V24</f>
        <v>0</v>
      </c>
    </row>
    <row r="177" spans="1:6" x14ac:dyDescent="0.25">
      <c r="A177" s="15" t="s">
        <v>164</v>
      </c>
      <c r="B177" s="47">
        <f>IF(B176&gt;2000,0.0486,0.0563)</f>
        <v>5.6300000000000003E-2</v>
      </c>
      <c r="C177" s="11"/>
    </row>
    <row r="178" spans="1:6" x14ac:dyDescent="0.25">
      <c r="A178" s="15" t="s">
        <v>167</v>
      </c>
      <c r="B178" s="15">
        <v>1</v>
      </c>
    </row>
    <row r="179" spans="1:6" x14ac:dyDescent="0.25">
      <c r="A179" s="15" t="s">
        <v>168</v>
      </c>
      <c r="B179" s="25">
        <f>PMT(B177,B178,-B176)</f>
        <v>0</v>
      </c>
    </row>
    <row r="181" spans="1:6" x14ac:dyDescent="0.25">
      <c r="A181" s="159" t="s">
        <v>169</v>
      </c>
      <c r="B181" s="159" t="s">
        <v>170</v>
      </c>
      <c r="C181" s="159" t="s">
        <v>168</v>
      </c>
      <c r="D181" s="159" t="s">
        <v>165</v>
      </c>
      <c r="E181" s="159" t="s">
        <v>166</v>
      </c>
      <c r="F181" s="159" t="s">
        <v>171</v>
      </c>
    </row>
    <row r="182" spans="1:6" x14ac:dyDescent="0.25">
      <c r="A182" s="46">
        <v>20</v>
      </c>
      <c r="B182" s="16">
        <f>B176</f>
        <v>0</v>
      </c>
      <c r="C182" s="25">
        <f>B179</f>
        <v>0</v>
      </c>
      <c r="D182" s="25">
        <f>B182*B177</f>
        <v>0</v>
      </c>
      <c r="E182" s="25">
        <f>C182-D182</f>
        <v>0</v>
      </c>
      <c r="F182" s="16">
        <f>B182-E182</f>
        <v>0</v>
      </c>
    </row>
    <row r="185" spans="1:6" x14ac:dyDescent="0.25">
      <c r="A185" s="15" t="s">
        <v>162</v>
      </c>
      <c r="B185" s="16">
        <f>'flujo de caja 75%'!W24</f>
        <v>0</v>
      </c>
    </row>
    <row r="186" spans="1:6" x14ac:dyDescent="0.25">
      <c r="A186" s="15" t="s">
        <v>164</v>
      </c>
      <c r="B186" s="47">
        <f>IF(B185&gt;2000,0.0486,0.0563)</f>
        <v>5.6300000000000003E-2</v>
      </c>
      <c r="C186" s="11"/>
    </row>
    <row r="187" spans="1:6" x14ac:dyDescent="0.25">
      <c r="A187" s="15" t="s">
        <v>167</v>
      </c>
      <c r="B187" s="15">
        <v>1</v>
      </c>
    </row>
    <row r="188" spans="1:6" x14ac:dyDescent="0.25">
      <c r="A188" s="15" t="s">
        <v>168</v>
      </c>
      <c r="B188" s="25">
        <f>PMT(B186,B187,-B185)</f>
        <v>0</v>
      </c>
    </row>
    <row r="190" spans="1:6" x14ac:dyDescent="0.25">
      <c r="A190" s="159" t="s">
        <v>169</v>
      </c>
      <c r="B190" s="159" t="s">
        <v>170</v>
      </c>
      <c r="C190" s="159" t="s">
        <v>168</v>
      </c>
      <c r="D190" s="159" t="s">
        <v>165</v>
      </c>
      <c r="E190" s="159" t="s">
        <v>166</v>
      </c>
      <c r="F190" s="159" t="s">
        <v>171</v>
      </c>
    </row>
    <row r="191" spans="1:6" x14ac:dyDescent="0.25">
      <c r="A191" s="46">
        <v>21</v>
      </c>
      <c r="B191" s="16">
        <f>B185</f>
        <v>0</v>
      </c>
      <c r="C191" s="25">
        <f>B188</f>
        <v>0</v>
      </c>
      <c r="D191" s="25">
        <f>B191*B186</f>
        <v>0</v>
      </c>
      <c r="E191" s="25">
        <f>C191-D191</f>
        <v>0</v>
      </c>
      <c r="F191" s="16">
        <f>B191-E191</f>
        <v>0</v>
      </c>
    </row>
    <row r="194" spans="1:6" x14ac:dyDescent="0.25">
      <c r="A194" s="15" t="s">
        <v>162</v>
      </c>
      <c r="B194" s="16">
        <f>'flujo de caja 75%'!X24</f>
        <v>0</v>
      </c>
    </row>
    <row r="195" spans="1:6" x14ac:dyDescent="0.25">
      <c r="A195" s="15" t="s">
        <v>164</v>
      </c>
      <c r="B195" s="47">
        <f>IF(B194&gt;2000,0.0486,0.0563)</f>
        <v>5.6300000000000003E-2</v>
      </c>
      <c r="C195" s="11"/>
    </row>
    <row r="196" spans="1:6" x14ac:dyDescent="0.25">
      <c r="A196" s="15" t="s">
        <v>167</v>
      </c>
      <c r="B196" s="15">
        <v>1</v>
      </c>
    </row>
    <row r="197" spans="1:6" x14ac:dyDescent="0.25">
      <c r="A197" s="15" t="s">
        <v>168</v>
      </c>
      <c r="B197" s="25">
        <f>PMT(B195,B196,-B194)</f>
        <v>0</v>
      </c>
    </row>
    <row r="199" spans="1:6" x14ac:dyDescent="0.25">
      <c r="A199" s="159" t="s">
        <v>169</v>
      </c>
      <c r="B199" s="159" t="s">
        <v>170</v>
      </c>
      <c r="C199" s="159" t="s">
        <v>168</v>
      </c>
      <c r="D199" s="159" t="s">
        <v>165</v>
      </c>
      <c r="E199" s="159" t="s">
        <v>166</v>
      </c>
      <c r="F199" s="159" t="s">
        <v>171</v>
      </c>
    </row>
    <row r="200" spans="1:6" x14ac:dyDescent="0.25">
      <c r="A200" s="46">
        <v>22</v>
      </c>
      <c r="B200" s="16">
        <f>B194</f>
        <v>0</v>
      </c>
      <c r="C200" s="25">
        <f>B197</f>
        <v>0</v>
      </c>
      <c r="D200" s="25">
        <f>B200*B195</f>
        <v>0</v>
      </c>
      <c r="E200" s="25">
        <f>C200-D200</f>
        <v>0</v>
      </c>
      <c r="F200" s="16">
        <f>B200-E200</f>
        <v>0</v>
      </c>
    </row>
    <row r="203" spans="1:6" x14ac:dyDescent="0.25">
      <c r="A203" s="15" t="s">
        <v>162</v>
      </c>
      <c r="B203" s="16">
        <f>'flujo de caja 75%'!Y24</f>
        <v>0</v>
      </c>
    </row>
    <row r="204" spans="1:6" x14ac:dyDescent="0.25">
      <c r="A204" s="15" t="s">
        <v>164</v>
      </c>
      <c r="B204" s="47">
        <f>IF(B203&gt;2000,0.0486,0.0563)</f>
        <v>5.6300000000000003E-2</v>
      </c>
      <c r="C204" s="11"/>
    </row>
    <row r="205" spans="1:6" x14ac:dyDescent="0.25">
      <c r="A205" s="15" t="s">
        <v>167</v>
      </c>
      <c r="B205" s="15">
        <v>1</v>
      </c>
    </row>
    <row r="206" spans="1:6" x14ac:dyDescent="0.25">
      <c r="A206" s="15" t="s">
        <v>168</v>
      </c>
      <c r="B206" s="25">
        <f>PMT(B204,B205,-B203)</f>
        <v>0</v>
      </c>
    </row>
    <row r="208" spans="1:6" x14ac:dyDescent="0.25">
      <c r="A208" s="159" t="s">
        <v>169</v>
      </c>
      <c r="B208" s="159" t="s">
        <v>170</v>
      </c>
      <c r="C208" s="159" t="s">
        <v>168</v>
      </c>
      <c r="D208" s="159" t="s">
        <v>165</v>
      </c>
      <c r="E208" s="159" t="s">
        <v>166</v>
      </c>
      <c r="F208" s="159" t="s">
        <v>171</v>
      </c>
    </row>
    <row r="209" spans="1:6" x14ac:dyDescent="0.25">
      <c r="A209" s="46">
        <v>23</v>
      </c>
      <c r="B209" s="16">
        <f>B203</f>
        <v>0</v>
      </c>
      <c r="C209" s="25">
        <f>B206</f>
        <v>0</v>
      </c>
      <c r="D209" s="25">
        <f>B209*B204</f>
        <v>0</v>
      </c>
      <c r="E209" s="25">
        <f>C209-D209</f>
        <v>0</v>
      </c>
      <c r="F209" s="16">
        <f>B209-E209</f>
        <v>0</v>
      </c>
    </row>
    <row r="212" spans="1:6" x14ac:dyDescent="0.25">
      <c r="A212" s="15" t="s">
        <v>162</v>
      </c>
      <c r="B212" s="16">
        <f>'flujo de caja 75%'!Z24</f>
        <v>0</v>
      </c>
    </row>
    <row r="213" spans="1:6" x14ac:dyDescent="0.25">
      <c r="A213" s="15" t="s">
        <v>164</v>
      </c>
      <c r="B213" s="47">
        <f>IF(B212&gt;2000,0.0486,0.0563)</f>
        <v>5.6300000000000003E-2</v>
      </c>
      <c r="C213" s="11"/>
    </row>
    <row r="214" spans="1:6" x14ac:dyDescent="0.25">
      <c r="A214" s="15" t="s">
        <v>167</v>
      </c>
      <c r="B214" s="15">
        <v>1</v>
      </c>
    </row>
    <row r="215" spans="1:6" x14ac:dyDescent="0.25">
      <c r="A215" s="15" t="s">
        <v>168</v>
      </c>
      <c r="B215" s="25">
        <f>PMT(B213,B214,-B212)</f>
        <v>0</v>
      </c>
    </row>
    <row r="217" spans="1:6" x14ac:dyDescent="0.25">
      <c r="A217" s="159" t="s">
        <v>169</v>
      </c>
      <c r="B217" s="159" t="s">
        <v>170</v>
      </c>
      <c r="C217" s="159" t="s">
        <v>168</v>
      </c>
      <c r="D217" s="159" t="s">
        <v>165</v>
      </c>
      <c r="E217" s="159" t="s">
        <v>166</v>
      </c>
      <c r="F217" s="159" t="s">
        <v>171</v>
      </c>
    </row>
    <row r="218" spans="1:6" x14ac:dyDescent="0.25">
      <c r="A218" s="46">
        <v>24</v>
      </c>
      <c r="B218" s="16">
        <f>B212</f>
        <v>0</v>
      </c>
      <c r="C218" s="25">
        <f>B215</f>
        <v>0</v>
      </c>
      <c r="D218" s="25">
        <f>B218*B213</f>
        <v>0</v>
      </c>
      <c r="E218" s="25">
        <f>C218-D218</f>
        <v>0</v>
      </c>
      <c r="F218" s="16">
        <f>B218-E218</f>
        <v>0</v>
      </c>
    </row>
    <row r="221" spans="1:6" x14ac:dyDescent="0.25">
      <c r="A221" s="15" t="s">
        <v>162</v>
      </c>
      <c r="B221" s="16">
        <f>'flujo de caja 75%'!AA24</f>
        <v>0</v>
      </c>
    </row>
    <row r="222" spans="1:6" x14ac:dyDescent="0.25">
      <c r="A222" s="15" t="s">
        <v>164</v>
      </c>
      <c r="B222" s="47">
        <f>IF(B221&gt;2000,0.0486,0.0563)</f>
        <v>5.6300000000000003E-2</v>
      </c>
      <c r="C222" s="11"/>
    </row>
    <row r="223" spans="1:6" x14ac:dyDescent="0.25">
      <c r="A223" s="15" t="s">
        <v>167</v>
      </c>
      <c r="B223" s="15">
        <v>1</v>
      </c>
    </row>
    <row r="224" spans="1:6" x14ac:dyDescent="0.25">
      <c r="A224" s="15" t="s">
        <v>168</v>
      </c>
      <c r="B224" s="25">
        <f>PMT(B222,B223,-B221)</f>
        <v>0</v>
      </c>
    </row>
    <row r="226" spans="1:6" x14ac:dyDescent="0.25">
      <c r="A226" s="159" t="s">
        <v>169</v>
      </c>
      <c r="B226" s="159" t="s">
        <v>170</v>
      </c>
      <c r="C226" s="159" t="s">
        <v>168</v>
      </c>
      <c r="D226" s="159" t="s">
        <v>165</v>
      </c>
      <c r="E226" s="159" t="s">
        <v>166</v>
      </c>
      <c r="F226" s="159" t="s">
        <v>171</v>
      </c>
    </row>
    <row r="227" spans="1:6" x14ac:dyDescent="0.25">
      <c r="A227" s="46">
        <v>25</v>
      </c>
      <c r="B227" s="16">
        <f>B221</f>
        <v>0</v>
      </c>
      <c r="C227" s="25">
        <f>B224</f>
        <v>0</v>
      </c>
      <c r="D227" s="25">
        <f>B227*B222</f>
        <v>0</v>
      </c>
      <c r="E227" s="25">
        <f>C227-D227</f>
        <v>0</v>
      </c>
      <c r="F227" s="16">
        <f>B227-E227</f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Ingresos</vt:lpstr>
      <vt:lpstr>Inversiones</vt:lpstr>
      <vt:lpstr>depreciación</vt:lpstr>
      <vt:lpstr>gastos de personal</vt:lpstr>
      <vt:lpstr>cambio datos sensi</vt:lpstr>
      <vt:lpstr>capital de trabajo anual</vt:lpstr>
      <vt:lpstr>capital de trabajo meses</vt:lpstr>
      <vt:lpstr>flujo de caja 75%</vt:lpstr>
      <vt:lpstr>amortizacion 75%</vt:lpstr>
      <vt:lpstr>Flujo de Caja Puro</vt:lpstr>
      <vt:lpstr>amortización</vt:lpstr>
      <vt:lpstr>Flujo de caja 25%</vt:lpstr>
      <vt:lpstr>amortización 25%</vt:lpstr>
      <vt:lpstr>Flujo de caja 50%</vt:lpstr>
      <vt:lpstr>amortizacion 50%</vt:lpstr>
      <vt:lpstr>CAPM</vt:lpstr>
      <vt:lpstr>PNCP</vt:lpstr>
      <vt:lpstr>amortizacion 100%</vt:lpstr>
      <vt:lpstr>flujo de caja 100%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kone</dc:creator>
  <cp:keywords/>
  <dc:description/>
  <cp:lastModifiedBy>soporte</cp:lastModifiedBy>
  <cp:revision/>
  <dcterms:created xsi:type="dcterms:W3CDTF">2018-11-22T19:24:51Z</dcterms:created>
  <dcterms:modified xsi:type="dcterms:W3CDTF">2020-09-02T23:14:53Z</dcterms:modified>
  <cp:category/>
  <cp:contentStatus/>
</cp:coreProperties>
</file>