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respaldo\Documents\MIS DOCUMENTOS\CIRCULACION\MEMORIAS USM_PROCESAMIENTO DESDE CIRC\MEMORIAS\"/>
    </mc:Choice>
  </mc:AlternateContent>
  <bookViews>
    <workbookView xWindow="0" yWindow="0" windowWidth="24000" windowHeight="9600" tabRatio="652" firstSheet="2" activeTab="6"/>
  </bookViews>
  <sheets>
    <sheet name="Estimación de costos" sheetId="1" r:id="rId1"/>
    <sheet name="Inversión mina" sheetId="2" r:id="rId2"/>
    <sheet name="Costos operación mina" sheetId="3" r:id="rId3"/>
    <sheet name="Costos de operación proceso" sheetId="4" r:id="rId4"/>
    <sheet name="Ingresos" sheetId="5" r:id="rId5"/>
    <sheet name="Flujo de caja" sheetId="9" r:id="rId6"/>
    <sheet name="Análisis Económico Proyecto" sheetId="6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4" i="5" l="1"/>
  <c r="D14" i="4"/>
  <c r="D13" i="4"/>
  <c r="D12" i="4"/>
  <c r="K37" i="9"/>
  <c r="K58" i="9" s="1"/>
  <c r="K78" i="9" s="1"/>
  <c r="R2" i="9"/>
  <c r="M7" i="5"/>
  <c r="R13" i="2"/>
  <c r="P56" i="9"/>
  <c r="P76" i="9" s="1"/>
  <c r="Q56" i="9"/>
  <c r="Q76" i="9" s="1"/>
  <c r="R56" i="9"/>
  <c r="R76" i="9" s="1"/>
  <c r="S56" i="9"/>
  <c r="S76" i="9" s="1"/>
  <c r="T56" i="9"/>
  <c r="T76" i="9" s="1"/>
  <c r="U56" i="9"/>
  <c r="U76" i="9" s="1"/>
  <c r="V56" i="9"/>
  <c r="V76" i="9" s="1"/>
  <c r="W56" i="9"/>
  <c r="W76" i="9" s="1"/>
  <c r="X56" i="9"/>
  <c r="X76" i="9" s="1"/>
  <c r="Y56" i="9"/>
  <c r="Y76" i="9" s="1"/>
  <c r="Z56" i="9"/>
  <c r="Z76" i="9" s="1"/>
  <c r="AA56" i="9"/>
  <c r="AA76" i="9" s="1"/>
  <c r="E56" i="9"/>
  <c r="E76" i="9" s="1"/>
  <c r="F56" i="9"/>
  <c r="F76" i="9" s="1"/>
  <c r="G56" i="9"/>
  <c r="G76" i="9" s="1"/>
  <c r="H56" i="9"/>
  <c r="H76" i="9" s="1"/>
  <c r="I56" i="9"/>
  <c r="I76" i="9" s="1"/>
  <c r="J56" i="9"/>
  <c r="J76" i="9" s="1"/>
  <c r="K56" i="9"/>
  <c r="K76" i="9" s="1"/>
  <c r="L56" i="9"/>
  <c r="L76" i="9" s="1"/>
  <c r="M56" i="9"/>
  <c r="M76" i="9" s="1"/>
  <c r="N56" i="9"/>
  <c r="N76" i="9" s="1"/>
  <c r="O56" i="9"/>
  <c r="O76" i="9" s="1"/>
  <c r="D56" i="9"/>
  <c r="D76" i="9" s="1"/>
  <c r="V29" i="9"/>
  <c r="V50" i="9" s="1"/>
  <c r="V70" i="9" s="1"/>
  <c r="X29" i="9"/>
  <c r="X50" i="9" s="1"/>
  <c r="X70" i="9" s="1"/>
  <c r="P29" i="9"/>
  <c r="P50" i="9" s="1"/>
  <c r="P70" i="9" s="1"/>
  <c r="H29" i="9"/>
  <c r="H50" i="9" s="1"/>
  <c r="H70" i="9" s="1"/>
  <c r="J29" i="9"/>
  <c r="J50" i="9" s="1"/>
  <c r="J70" i="9" s="1"/>
  <c r="L29" i="9"/>
  <c r="L50" i="9" s="1"/>
  <c r="L70" i="9" s="1"/>
  <c r="P10" i="9"/>
  <c r="P30" i="9" s="1"/>
  <c r="P51" i="9" s="1"/>
  <c r="P71" i="9" s="1"/>
  <c r="Q10" i="9"/>
  <c r="Q30" i="9" s="1"/>
  <c r="Q51" i="9" s="1"/>
  <c r="Q71" i="9" s="1"/>
  <c r="R10" i="9"/>
  <c r="R30" i="9" s="1"/>
  <c r="R51" i="9" s="1"/>
  <c r="R71" i="9" s="1"/>
  <c r="S10" i="9"/>
  <c r="S30" i="9" s="1"/>
  <c r="S51" i="9" s="1"/>
  <c r="S71" i="9" s="1"/>
  <c r="T10" i="9"/>
  <c r="T30" i="9" s="1"/>
  <c r="T51" i="9" s="1"/>
  <c r="T71" i="9" s="1"/>
  <c r="U10" i="9"/>
  <c r="U30" i="9" s="1"/>
  <c r="U51" i="9" s="1"/>
  <c r="U71" i="9" s="1"/>
  <c r="V10" i="9"/>
  <c r="V30" i="9" s="1"/>
  <c r="V51" i="9" s="1"/>
  <c r="V71" i="9" s="1"/>
  <c r="W10" i="9"/>
  <c r="W30" i="9" s="1"/>
  <c r="W51" i="9" s="1"/>
  <c r="W71" i="9" s="1"/>
  <c r="X10" i="9"/>
  <c r="X30" i="9" s="1"/>
  <c r="X51" i="9" s="1"/>
  <c r="X71" i="9" s="1"/>
  <c r="Y10" i="9"/>
  <c r="Y30" i="9" s="1"/>
  <c r="Y51" i="9" s="1"/>
  <c r="Y71" i="9" s="1"/>
  <c r="Z10" i="9"/>
  <c r="Z30" i="9" s="1"/>
  <c r="Z51" i="9" s="1"/>
  <c r="Z71" i="9" s="1"/>
  <c r="AA10" i="9"/>
  <c r="AA30" i="9" s="1"/>
  <c r="AA51" i="9" s="1"/>
  <c r="AA71" i="9" s="1"/>
  <c r="D11" i="4"/>
  <c r="I48" i="3" s="1"/>
  <c r="D10" i="9"/>
  <c r="D30" i="9" s="1"/>
  <c r="D51" i="9" s="1"/>
  <c r="D71" i="9" s="1"/>
  <c r="E10" i="9"/>
  <c r="E30" i="9" s="1"/>
  <c r="E51" i="9" s="1"/>
  <c r="E71" i="9" s="1"/>
  <c r="F10" i="9"/>
  <c r="F30" i="9" s="1"/>
  <c r="F51" i="9" s="1"/>
  <c r="F71" i="9" s="1"/>
  <c r="G10" i="9"/>
  <c r="G30" i="9" s="1"/>
  <c r="G51" i="9" s="1"/>
  <c r="G71" i="9" s="1"/>
  <c r="H10" i="9"/>
  <c r="H30" i="9" s="1"/>
  <c r="H51" i="9" s="1"/>
  <c r="H71" i="9" s="1"/>
  <c r="I10" i="9"/>
  <c r="I30" i="9" s="1"/>
  <c r="I51" i="9" s="1"/>
  <c r="I71" i="9" s="1"/>
  <c r="J10" i="9"/>
  <c r="J30" i="9" s="1"/>
  <c r="J51" i="9" s="1"/>
  <c r="J71" i="9" s="1"/>
  <c r="K10" i="9"/>
  <c r="K30" i="9" s="1"/>
  <c r="K51" i="9" s="1"/>
  <c r="K71" i="9" s="1"/>
  <c r="L10" i="9"/>
  <c r="L30" i="9" s="1"/>
  <c r="L51" i="9" s="1"/>
  <c r="L71" i="9" s="1"/>
  <c r="M10" i="9"/>
  <c r="M30" i="9" s="1"/>
  <c r="M51" i="9" s="1"/>
  <c r="M71" i="9" s="1"/>
  <c r="N10" i="9"/>
  <c r="N30" i="9" s="1"/>
  <c r="N51" i="9" s="1"/>
  <c r="N71" i="9" s="1"/>
  <c r="O10" i="9"/>
  <c r="O30" i="9" s="1"/>
  <c r="O51" i="9" s="1"/>
  <c r="O71" i="9" s="1"/>
  <c r="I6" i="5" l="1"/>
  <c r="I5" i="5"/>
  <c r="G5" i="2"/>
  <c r="L6" i="2" s="1"/>
  <c r="G40" i="3"/>
  <c r="G11" i="3"/>
  <c r="G41" i="3"/>
  <c r="G25" i="3"/>
  <c r="G21" i="2"/>
  <c r="F22" i="2"/>
  <c r="G22" i="2" s="1"/>
  <c r="F21" i="5" l="1"/>
  <c r="C32" i="5" s="1"/>
  <c r="F18" i="5"/>
  <c r="F19" i="5"/>
  <c r="F20" i="5"/>
  <c r="F26" i="5"/>
  <c r="F25" i="5"/>
  <c r="D27" i="5"/>
  <c r="F27" i="5"/>
  <c r="D32" i="5" s="1"/>
  <c r="E27" i="5"/>
  <c r="F24" i="5"/>
  <c r="C27" i="5"/>
  <c r="D21" i="5"/>
  <c r="C21" i="5"/>
  <c r="C20" i="5"/>
  <c r="C26" i="5"/>
  <c r="E21" i="5"/>
  <c r="C25" i="5"/>
  <c r="D30" i="5" s="1"/>
  <c r="D19" i="5"/>
  <c r="E18" i="5"/>
  <c r="D24" i="5"/>
  <c r="H41" i="3"/>
  <c r="K9" i="9" s="1"/>
  <c r="K29" i="9" s="1"/>
  <c r="I41" i="3"/>
  <c r="H40" i="3"/>
  <c r="F9" i="9" s="1"/>
  <c r="F29" i="9" s="1"/>
  <c r="F50" i="9" s="1"/>
  <c r="F70" i="9" s="1"/>
  <c r="I40" i="3"/>
  <c r="R9" i="9" s="1"/>
  <c r="R29" i="9" s="1"/>
  <c r="R50" i="9" s="1"/>
  <c r="R70" i="9" s="1"/>
  <c r="E25" i="5"/>
  <c r="E19" i="5"/>
  <c r="E24" i="5"/>
  <c r="E20" i="5"/>
  <c r="C18" i="5"/>
  <c r="C19" i="5"/>
  <c r="C30" i="5" s="1"/>
  <c r="D18" i="5"/>
  <c r="D26" i="5"/>
  <c r="D31" i="5" s="1"/>
  <c r="D25" i="5"/>
  <c r="E26" i="5"/>
  <c r="D20" i="5"/>
  <c r="C31" i="5" s="1"/>
  <c r="C24" i="5"/>
  <c r="S67" i="9" l="1"/>
  <c r="W67" i="9"/>
  <c r="X67" i="9"/>
  <c r="AA67" i="9"/>
  <c r="Q67" i="9"/>
  <c r="U67" i="9"/>
  <c r="Z67" i="9"/>
  <c r="R67" i="9"/>
  <c r="T67" i="9"/>
  <c r="V67" i="9"/>
  <c r="Y67" i="9"/>
  <c r="P67" i="9"/>
  <c r="G67" i="9"/>
  <c r="L67" i="9"/>
  <c r="M67" i="9"/>
  <c r="H67" i="9"/>
  <c r="J67" i="9"/>
  <c r="K67" i="9"/>
  <c r="N67" i="9"/>
  <c r="D67" i="9"/>
  <c r="E67" i="9"/>
  <c r="I67" i="9"/>
  <c r="F67" i="9"/>
  <c r="O67" i="9"/>
  <c r="E9" i="9"/>
  <c r="E29" i="9" s="1"/>
  <c r="E50" i="9" s="1"/>
  <c r="E70" i="9" s="1"/>
  <c r="O9" i="9"/>
  <c r="O29" i="9" s="1"/>
  <c r="O50" i="9" s="1"/>
  <c r="O70" i="9" s="1"/>
  <c r="G9" i="9"/>
  <c r="G29" i="9" s="1"/>
  <c r="G50" i="9" s="1"/>
  <c r="G70" i="9" s="1"/>
  <c r="M9" i="9"/>
  <c r="M29" i="9" s="1"/>
  <c r="M50" i="9" s="1"/>
  <c r="M70" i="9" s="1"/>
  <c r="AA47" i="9"/>
  <c r="S47" i="9"/>
  <c r="Y47" i="9"/>
  <c r="Z47" i="9"/>
  <c r="P47" i="9"/>
  <c r="R47" i="9"/>
  <c r="T47" i="9"/>
  <c r="V47" i="9"/>
  <c r="W47" i="9"/>
  <c r="X47" i="9"/>
  <c r="Q47" i="9"/>
  <c r="U47" i="9"/>
  <c r="F26" i="9"/>
  <c r="G26" i="9"/>
  <c r="J26" i="9"/>
  <c r="K26" i="9"/>
  <c r="O26" i="9"/>
  <c r="E26" i="9"/>
  <c r="L26" i="9"/>
  <c r="H26" i="9"/>
  <c r="I26" i="9"/>
  <c r="N26" i="9"/>
  <c r="D26" i="9"/>
  <c r="M26" i="9"/>
  <c r="V6" i="9"/>
  <c r="S6" i="9"/>
  <c r="W6" i="9"/>
  <c r="AA6" i="9"/>
  <c r="P6" i="9"/>
  <c r="U6" i="9"/>
  <c r="X6" i="9"/>
  <c r="Z6" i="9"/>
  <c r="Q6" i="9"/>
  <c r="R6" i="9"/>
  <c r="T6" i="9"/>
  <c r="Y6" i="9"/>
  <c r="H47" i="9"/>
  <c r="L47" i="9"/>
  <c r="E47" i="9"/>
  <c r="I47" i="9"/>
  <c r="N47" i="9"/>
  <c r="G47" i="9"/>
  <c r="J47" i="9"/>
  <c r="O47" i="9"/>
  <c r="D47" i="9"/>
  <c r="F47" i="9"/>
  <c r="K47" i="9"/>
  <c r="M47" i="9"/>
  <c r="Y26" i="9"/>
  <c r="T26" i="9"/>
  <c r="U26" i="9"/>
  <c r="Z26" i="9"/>
  <c r="Q26" i="9"/>
  <c r="AA26" i="9"/>
  <c r="R26" i="9"/>
  <c r="S26" i="9"/>
  <c r="P26" i="9"/>
  <c r="V26" i="9"/>
  <c r="W26" i="9"/>
  <c r="X26" i="9"/>
  <c r="U9" i="9"/>
  <c r="U29" i="9" s="1"/>
  <c r="U50" i="9" s="1"/>
  <c r="U70" i="9" s="1"/>
  <c r="S9" i="9"/>
  <c r="S29" i="9" s="1"/>
  <c r="S50" i="9" s="1"/>
  <c r="S70" i="9" s="1"/>
  <c r="Q9" i="9"/>
  <c r="Q29" i="9" s="1"/>
  <c r="Q50" i="9" s="1"/>
  <c r="Q70" i="9" s="1"/>
  <c r="AA9" i="9"/>
  <c r="AA29" i="9" s="1"/>
  <c r="AA50" i="9" s="1"/>
  <c r="AA70" i="9" s="1"/>
  <c r="W9" i="9"/>
  <c r="W29" i="9" s="1"/>
  <c r="W50" i="9" s="1"/>
  <c r="W70" i="9" s="1"/>
  <c r="Y9" i="9"/>
  <c r="Y29" i="9" s="1"/>
  <c r="Y50" i="9" s="1"/>
  <c r="Y70" i="9" s="1"/>
  <c r="K50" i="9"/>
  <c r="K70" i="9" s="1"/>
  <c r="D6" i="9"/>
  <c r="D17" i="9" s="1"/>
  <c r="D37" i="9" s="1"/>
  <c r="D58" i="9" s="1"/>
  <c r="D78" i="9" s="1"/>
  <c r="H6" i="9"/>
  <c r="H17" i="9" s="1"/>
  <c r="H37" i="9" s="1"/>
  <c r="H58" i="9" s="1"/>
  <c r="H78" i="9" s="1"/>
  <c r="J6" i="9"/>
  <c r="J17" i="9" s="1"/>
  <c r="J37" i="9" s="1"/>
  <c r="J58" i="9" s="1"/>
  <c r="J78" i="9" s="1"/>
  <c r="O6" i="9"/>
  <c r="I6" i="9"/>
  <c r="I17" i="9" s="1"/>
  <c r="I37" i="9" s="1"/>
  <c r="I58" i="9" s="1"/>
  <c r="I78" i="9" s="1"/>
  <c r="K6" i="9"/>
  <c r="M6" i="9"/>
  <c r="N6" i="9"/>
  <c r="F6" i="9"/>
  <c r="F17" i="9" s="1"/>
  <c r="F37" i="9" s="1"/>
  <c r="F58" i="9" s="1"/>
  <c r="F78" i="9" s="1"/>
  <c r="G6" i="9"/>
  <c r="G17" i="9" s="1"/>
  <c r="G37" i="9" s="1"/>
  <c r="G58" i="9" s="1"/>
  <c r="G78" i="9" s="1"/>
  <c r="L6" i="9"/>
  <c r="E6" i="9"/>
  <c r="E17" i="9" s="1"/>
  <c r="E37" i="9" s="1"/>
  <c r="E58" i="9" s="1"/>
  <c r="E78" i="9" s="1"/>
  <c r="G20" i="2" l="1"/>
  <c r="G26" i="3"/>
  <c r="G23" i="3" l="1"/>
  <c r="G22" i="3"/>
  <c r="G21" i="3"/>
  <c r="G20" i="3"/>
  <c r="G19" i="3"/>
  <c r="G27" i="3"/>
  <c r="G28" i="3"/>
  <c r="G29" i="3"/>
  <c r="G30" i="3"/>
  <c r="G31" i="3"/>
  <c r="G32" i="3"/>
  <c r="G33" i="3"/>
  <c r="G34" i="3"/>
  <c r="G35" i="3"/>
  <c r="G17" i="3"/>
  <c r="G18" i="3"/>
  <c r="G24" i="3"/>
  <c r="G16" i="3"/>
  <c r="G15" i="3"/>
  <c r="G42" i="3"/>
  <c r="G14" i="3"/>
  <c r="G13" i="3"/>
  <c r="G5" i="3"/>
  <c r="G6" i="3"/>
  <c r="G7" i="3"/>
  <c r="G8" i="3"/>
  <c r="G9" i="3"/>
  <c r="G10" i="3"/>
  <c r="G12" i="3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19" i="2"/>
  <c r="N9" i="2" s="1"/>
  <c r="H42" i="3" l="1"/>
  <c r="I9" i="9" s="1"/>
  <c r="I29" i="9" s="1"/>
  <c r="I42" i="3"/>
  <c r="M8" i="2"/>
  <c r="N8" i="2" s="1"/>
  <c r="G24" i="2"/>
  <c r="G25" i="2" s="1"/>
  <c r="C77" i="9" s="1"/>
  <c r="C82" i="9" s="1"/>
  <c r="N9" i="9"/>
  <c r="N29" i="9" s="1"/>
  <c r="G36" i="3"/>
  <c r="Z9" i="9" l="1"/>
  <c r="Z29" i="9" s="1"/>
  <c r="Z50" i="9" s="1"/>
  <c r="Z70" i="9" s="1"/>
  <c r="T9" i="9"/>
  <c r="T29" i="9" s="1"/>
  <c r="T50" i="9" s="1"/>
  <c r="T70" i="9" s="1"/>
  <c r="H36" i="3"/>
  <c r="F8" i="9" s="1"/>
  <c r="F11" i="9" s="1"/>
  <c r="F13" i="9" s="1"/>
  <c r="F14" i="9" s="1"/>
  <c r="F21" i="9" s="1"/>
  <c r="I36" i="3"/>
  <c r="C16" i="9"/>
  <c r="C21" i="9" s="1"/>
  <c r="C36" i="9"/>
  <c r="C41" i="9" s="1"/>
  <c r="C57" i="9"/>
  <c r="C62" i="9" s="1"/>
  <c r="N50" i="9"/>
  <c r="N70" i="9" s="1"/>
  <c r="I50" i="9"/>
  <c r="I70" i="9" s="1"/>
  <c r="N8" i="9"/>
  <c r="N11" i="9" s="1"/>
  <c r="E8" i="9"/>
  <c r="E11" i="9" s="1"/>
  <c r="E13" i="9" s="1"/>
  <c r="E14" i="9" s="1"/>
  <c r="E21" i="9" s="1"/>
  <c r="M8" i="9"/>
  <c r="M11" i="9" s="1"/>
  <c r="H8" i="9" l="1"/>
  <c r="H11" i="9" s="1"/>
  <c r="J8" i="9"/>
  <c r="J11" i="9" s="1"/>
  <c r="J13" i="9" s="1"/>
  <c r="J14" i="9" s="1"/>
  <c r="J21" i="9" s="1"/>
  <c r="J69" i="9"/>
  <c r="Z69" i="9"/>
  <c r="R49" i="9"/>
  <c r="R52" i="9" s="1"/>
  <c r="J28" i="9"/>
  <c r="J31" i="9" s="1"/>
  <c r="J33" i="9" s="1"/>
  <c r="J34" i="9" s="1"/>
  <c r="J41" i="9" s="1"/>
  <c r="Z28" i="9"/>
  <c r="Z31" i="9" s="1"/>
  <c r="Z33" i="9" s="1"/>
  <c r="Z34" i="9" s="1"/>
  <c r="Z41" i="9" s="1"/>
  <c r="AA69" i="9"/>
  <c r="AA72" i="9" s="1"/>
  <c r="AA74" i="9" s="1"/>
  <c r="AA75" i="9" s="1"/>
  <c r="AA82" i="9" s="1"/>
  <c r="S49" i="9"/>
  <c r="S52" i="9" s="1"/>
  <c r="K28" i="9"/>
  <c r="K31" i="9" s="1"/>
  <c r="K33" i="9" s="1"/>
  <c r="K34" i="9" s="1"/>
  <c r="K41" i="9" s="1"/>
  <c r="AA28" i="9"/>
  <c r="AA31" i="9" s="1"/>
  <c r="AA33" i="9" s="1"/>
  <c r="AA34" i="9" s="1"/>
  <c r="AA41" i="9" s="1"/>
  <c r="L69" i="9"/>
  <c r="L72" i="9" s="1"/>
  <c r="D69" i="9"/>
  <c r="D72" i="9" s="1"/>
  <c r="D74" i="9" s="1"/>
  <c r="D75" i="9" s="1"/>
  <c r="D82" i="9" s="1"/>
  <c r="T49" i="9"/>
  <c r="T52" i="9" s="1"/>
  <c r="T54" i="9" s="1"/>
  <c r="T55" i="9" s="1"/>
  <c r="T62" i="9" s="1"/>
  <c r="L28" i="9"/>
  <c r="L31" i="9" s="1"/>
  <c r="L33" i="9" s="1"/>
  <c r="L34" i="9" s="1"/>
  <c r="L41" i="9" s="1"/>
  <c r="D28" i="9"/>
  <c r="D31" i="9" s="1"/>
  <c r="D33" i="9" s="1"/>
  <c r="D34" i="9" s="1"/>
  <c r="D41" i="9" s="1"/>
  <c r="M69" i="9"/>
  <c r="E49" i="9"/>
  <c r="U49" i="9"/>
  <c r="M28" i="9"/>
  <c r="N69" i="9"/>
  <c r="F49" i="9"/>
  <c r="F52" i="9" s="1"/>
  <c r="F54" i="9" s="1"/>
  <c r="F55" i="9" s="1"/>
  <c r="F62" i="9" s="1"/>
  <c r="V49" i="9"/>
  <c r="V52" i="9" s="1"/>
  <c r="N28" i="9"/>
  <c r="N31" i="9" s="1"/>
  <c r="N33" i="9" s="1"/>
  <c r="N34" i="9" s="1"/>
  <c r="N41" i="9" s="1"/>
  <c r="O69" i="9"/>
  <c r="O72" i="9" s="1"/>
  <c r="O74" i="9" s="1"/>
  <c r="O75" i="9" s="1"/>
  <c r="O82" i="9" s="1"/>
  <c r="G49" i="9"/>
  <c r="G52" i="9" s="1"/>
  <c r="G54" i="9" s="1"/>
  <c r="G55" i="9" s="1"/>
  <c r="G62" i="9" s="1"/>
  <c r="W49" i="9"/>
  <c r="W52" i="9" s="1"/>
  <c r="O28" i="9"/>
  <c r="O31" i="9" s="1"/>
  <c r="O33" i="9" s="1"/>
  <c r="O34" i="9" s="1"/>
  <c r="O41" i="9" s="1"/>
  <c r="P69" i="9"/>
  <c r="P72" i="9" s="1"/>
  <c r="P74" i="9" s="1"/>
  <c r="P75" i="9" s="1"/>
  <c r="P82" i="9" s="1"/>
  <c r="H49" i="9"/>
  <c r="H52" i="9" s="1"/>
  <c r="X49" i="9"/>
  <c r="X52" i="9" s="1"/>
  <c r="X54" i="9" s="1"/>
  <c r="X55" i="9" s="1"/>
  <c r="X62" i="9" s="1"/>
  <c r="Q69" i="9"/>
  <c r="Q72" i="9" s="1"/>
  <c r="Q74" i="9" s="1"/>
  <c r="Q75" i="9" s="1"/>
  <c r="Q82" i="9" s="1"/>
  <c r="Y49" i="9"/>
  <c r="Q28" i="9"/>
  <c r="J49" i="9"/>
  <c r="R28" i="9"/>
  <c r="K49" i="9"/>
  <c r="K52" i="9" s="1"/>
  <c r="S28" i="9"/>
  <c r="L49" i="9"/>
  <c r="L52" i="9" s="1"/>
  <c r="L54" i="9" s="1"/>
  <c r="L55" i="9" s="1"/>
  <c r="L62" i="9" s="1"/>
  <c r="T28" i="9"/>
  <c r="T31" i="9" s="1"/>
  <c r="U69" i="9"/>
  <c r="U72" i="9" s="1"/>
  <c r="U74" i="9" s="1"/>
  <c r="U75" i="9" s="1"/>
  <c r="U82" i="9" s="1"/>
  <c r="V69" i="9"/>
  <c r="V72" i="9" s="1"/>
  <c r="V74" i="9" s="1"/>
  <c r="V75" i="9" s="1"/>
  <c r="V82" i="9" s="1"/>
  <c r="F28" i="9"/>
  <c r="F31" i="9" s="1"/>
  <c r="F33" i="9" s="1"/>
  <c r="F34" i="9" s="1"/>
  <c r="F41" i="9" s="1"/>
  <c r="W69" i="9"/>
  <c r="W72" i="9" s="1"/>
  <c r="W74" i="9" s="1"/>
  <c r="W75" i="9" s="1"/>
  <c r="W82" i="9" s="1"/>
  <c r="G28" i="9"/>
  <c r="G31" i="9" s="1"/>
  <c r="X69" i="9"/>
  <c r="X72" i="9" s="1"/>
  <c r="X74" i="9" s="1"/>
  <c r="X75" i="9" s="1"/>
  <c r="X82" i="9" s="1"/>
  <c r="P49" i="9"/>
  <c r="P52" i="9" s="1"/>
  <c r="X28" i="9"/>
  <c r="X31" i="9" s="1"/>
  <c r="X33" i="9" s="1"/>
  <c r="X34" i="9" s="1"/>
  <c r="X41" i="9" s="1"/>
  <c r="Y69" i="9"/>
  <c r="Y72" i="9" s="1"/>
  <c r="I28" i="9"/>
  <c r="K69" i="9"/>
  <c r="K72" i="9" s="1"/>
  <c r="K74" i="9" s="1"/>
  <c r="K75" i="9" s="1"/>
  <c r="K82" i="9" s="1"/>
  <c r="P28" i="9"/>
  <c r="P31" i="9" s="1"/>
  <c r="P33" i="9" s="1"/>
  <c r="P34" i="9" s="1"/>
  <c r="P41" i="9" s="1"/>
  <c r="I49" i="9"/>
  <c r="I52" i="9" s="1"/>
  <c r="R69" i="9"/>
  <c r="R72" i="9" s="1"/>
  <c r="R74" i="9" s="1"/>
  <c r="R75" i="9" s="1"/>
  <c r="R82" i="9" s="1"/>
  <c r="Z49" i="9"/>
  <c r="Z52" i="9" s="1"/>
  <c r="Z54" i="9" s="1"/>
  <c r="Z55" i="9" s="1"/>
  <c r="Z62" i="9" s="1"/>
  <c r="S69" i="9"/>
  <c r="S72" i="9" s="1"/>
  <c r="S74" i="9" s="1"/>
  <c r="S75" i="9" s="1"/>
  <c r="S82" i="9" s="1"/>
  <c r="AA49" i="9"/>
  <c r="AA52" i="9" s="1"/>
  <c r="T69" i="9"/>
  <c r="T72" i="9" s="1"/>
  <c r="T74" i="9" s="1"/>
  <c r="T75" i="9" s="1"/>
  <c r="T82" i="9" s="1"/>
  <c r="D49" i="9"/>
  <c r="D52" i="9" s="1"/>
  <c r="D54" i="9" s="1"/>
  <c r="D55" i="9" s="1"/>
  <c r="D62" i="9" s="1"/>
  <c r="E69" i="9"/>
  <c r="E72" i="9" s="1"/>
  <c r="E74" i="9" s="1"/>
  <c r="E75" i="9" s="1"/>
  <c r="E82" i="9" s="1"/>
  <c r="M49" i="9"/>
  <c r="M52" i="9" s="1"/>
  <c r="M54" i="9" s="1"/>
  <c r="M55" i="9" s="1"/>
  <c r="M62" i="9" s="1"/>
  <c r="E28" i="9"/>
  <c r="E31" i="9" s="1"/>
  <c r="U28" i="9"/>
  <c r="U31" i="9" s="1"/>
  <c r="F69" i="9"/>
  <c r="F72" i="9" s="1"/>
  <c r="N49" i="9"/>
  <c r="G69" i="9"/>
  <c r="G72" i="9" s="1"/>
  <c r="O49" i="9"/>
  <c r="W28" i="9"/>
  <c r="W31" i="9" s="1"/>
  <c r="H69" i="9"/>
  <c r="H72" i="9" s="1"/>
  <c r="H28" i="9"/>
  <c r="H31" i="9" s="1"/>
  <c r="I69" i="9"/>
  <c r="I72" i="9" s="1"/>
  <c r="I74" i="9" s="1"/>
  <c r="I75" i="9" s="1"/>
  <c r="I82" i="9" s="1"/>
  <c r="Q49" i="9"/>
  <c r="Q52" i="9" s="1"/>
  <c r="Y28" i="9"/>
  <c r="Y31" i="9" s="1"/>
  <c r="Y33" i="9" s="1"/>
  <c r="Y34" i="9" s="1"/>
  <c r="Y41" i="9" s="1"/>
  <c r="V28" i="9"/>
  <c r="V31" i="9" s="1"/>
  <c r="Z72" i="9"/>
  <c r="Z74" i="9" s="1"/>
  <c r="Z75" i="9" s="1"/>
  <c r="Z82" i="9" s="1"/>
  <c r="G8" i="9"/>
  <c r="G11" i="9" s="1"/>
  <c r="G13" i="9" s="1"/>
  <c r="G14" i="9" s="1"/>
  <c r="G21" i="9" s="1"/>
  <c r="M72" i="9"/>
  <c r="N72" i="9"/>
  <c r="N74" i="9" s="1"/>
  <c r="N75" i="9" s="1"/>
  <c r="N82" i="9" s="1"/>
  <c r="J72" i="9"/>
  <c r="J74" i="9" s="1"/>
  <c r="J75" i="9" s="1"/>
  <c r="J82" i="9" s="1"/>
  <c r="L8" i="9"/>
  <c r="L11" i="9" s="1"/>
  <c r="L13" i="9" s="1"/>
  <c r="L14" i="9" s="1"/>
  <c r="L21" i="9" s="1"/>
  <c r="D8" i="9"/>
  <c r="D11" i="9" s="1"/>
  <c r="D13" i="9" s="1"/>
  <c r="D14" i="9" s="1"/>
  <c r="D21" i="9" s="1"/>
  <c r="O8" i="9"/>
  <c r="O11" i="9" s="1"/>
  <c r="I8" i="9"/>
  <c r="I11" i="9" s="1"/>
  <c r="I13" i="9" s="1"/>
  <c r="I14" i="9" s="1"/>
  <c r="I21" i="9" s="1"/>
  <c r="K8" i="9"/>
  <c r="K11" i="9" s="1"/>
  <c r="K13" i="9" s="1"/>
  <c r="K14" i="9" s="1"/>
  <c r="K21" i="9" s="1"/>
  <c r="Z8" i="9"/>
  <c r="Z11" i="9" s="1"/>
  <c r="Z13" i="9" s="1"/>
  <c r="Z14" i="9" s="1"/>
  <c r="Z21" i="9" s="1"/>
  <c r="P8" i="9"/>
  <c r="P11" i="9" s="1"/>
  <c r="R31" i="9"/>
  <c r="AA8" i="9"/>
  <c r="AA11" i="9" s="1"/>
  <c r="AA13" i="9" s="1"/>
  <c r="AA14" i="9" s="1"/>
  <c r="AA21" i="9" s="1"/>
  <c r="Q8" i="9"/>
  <c r="Q11" i="9" s="1"/>
  <c r="Q31" i="9"/>
  <c r="Q33" i="9" s="1"/>
  <c r="Q34" i="9" s="1"/>
  <c r="Q41" i="9" s="1"/>
  <c r="S31" i="9"/>
  <c r="R8" i="9"/>
  <c r="R11" i="9" s="1"/>
  <c r="T8" i="9"/>
  <c r="T11" i="9" s="1"/>
  <c r="U8" i="9"/>
  <c r="U11" i="9" s="1"/>
  <c r="U52" i="9"/>
  <c r="U54" i="9" s="1"/>
  <c r="U55" i="9" s="1"/>
  <c r="U62" i="9" s="1"/>
  <c r="S8" i="9"/>
  <c r="S11" i="9" s="1"/>
  <c r="S13" i="9" s="1"/>
  <c r="S14" i="9" s="1"/>
  <c r="S21" i="9" s="1"/>
  <c r="V8" i="9"/>
  <c r="V11" i="9" s="1"/>
  <c r="Y52" i="9"/>
  <c r="Y54" i="9" s="1"/>
  <c r="Y55" i="9" s="1"/>
  <c r="Y62" i="9" s="1"/>
  <c r="W8" i="9"/>
  <c r="W11" i="9" s="1"/>
  <c r="X8" i="9"/>
  <c r="X11" i="9" s="1"/>
  <c r="X13" i="9" s="1"/>
  <c r="X14" i="9" s="1"/>
  <c r="X21" i="9" s="1"/>
  <c r="Y8" i="9"/>
  <c r="Y11" i="9" s="1"/>
  <c r="Y13" i="9" s="1"/>
  <c r="Y14" i="9" s="1"/>
  <c r="Y21" i="9" s="1"/>
  <c r="M31" i="9"/>
  <c r="M33" i="9" s="1"/>
  <c r="M34" i="9" s="1"/>
  <c r="M41" i="9" s="1"/>
  <c r="N52" i="9"/>
  <c r="N54" i="9" s="1"/>
  <c r="N55" i="9" s="1"/>
  <c r="N62" i="9" s="1"/>
  <c r="E52" i="9"/>
  <c r="E54" i="9" s="1"/>
  <c r="E55" i="9" s="1"/>
  <c r="E62" i="9" s="1"/>
  <c r="I47" i="3"/>
  <c r="I49" i="3" s="1"/>
  <c r="O52" i="9"/>
  <c r="O54" i="9" s="1"/>
  <c r="O55" i="9" s="1"/>
  <c r="O62" i="9" s="1"/>
  <c r="J52" i="9"/>
  <c r="I31" i="9"/>
  <c r="I33" i="9" s="1"/>
  <c r="I34" i="9" s="1"/>
  <c r="I41" i="9" s="1"/>
  <c r="M13" i="9"/>
  <c r="M14" i="9" s="1"/>
  <c r="M21" i="9" s="1"/>
  <c r="N13" i="9"/>
  <c r="N14" i="9" s="1"/>
  <c r="N21" i="9" s="1"/>
  <c r="H13" i="9"/>
  <c r="H14" i="9" s="1"/>
  <c r="H21" i="9" s="1"/>
  <c r="O13" i="9"/>
  <c r="O14" i="9" s="1"/>
  <c r="O21" i="9" s="1"/>
  <c r="Y74" i="9" l="1"/>
  <c r="Y75" i="9" s="1"/>
  <c r="Y82" i="9" s="1"/>
  <c r="D89" i="9" s="1"/>
  <c r="AE21" i="9"/>
  <c r="H74" i="9"/>
  <c r="H75" i="9" s="1"/>
  <c r="H82" i="9" s="1"/>
  <c r="G74" i="9"/>
  <c r="G75" i="9" s="1"/>
  <c r="G82" i="9" s="1"/>
  <c r="L74" i="9"/>
  <c r="L75" i="9" s="1"/>
  <c r="L82" i="9" s="1"/>
  <c r="F74" i="9"/>
  <c r="F75" i="9" s="1"/>
  <c r="F82" i="9" s="1"/>
  <c r="M74" i="9"/>
  <c r="M75" i="9" s="1"/>
  <c r="M82" i="9" s="1"/>
  <c r="I54" i="9"/>
  <c r="I55" i="9" s="1"/>
  <c r="I62" i="9" s="1"/>
  <c r="E33" i="9"/>
  <c r="E34" i="9" s="1"/>
  <c r="E41" i="9" s="1"/>
  <c r="U33" i="9"/>
  <c r="U34" i="9" s="1"/>
  <c r="U41" i="9" s="1"/>
  <c r="Q13" i="9"/>
  <c r="Q14" i="9" s="1"/>
  <c r="Q21" i="9" s="1"/>
  <c r="Q54" i="9"/>
  <c r="Q55" i="9" s="1"/>
  <c r="Q62" i="9" s="1"/>
  <c r="W54" i="9"/>
  <c r="W55" i="9" s="1"/>
  <c r="W62" i="9" s="1"/>
  <c r="V13" i="9"/>
  <c r="V14" i="9" s="1"/>
  <c r="V21" i="9" s="1"/>
  <c r="J54" i="9"/>
  <c r="J55" i="9" s="1"/>
  <c r="J62" i="9" s="1"/>
  <c r="R33" i="9"/>
  <c r="R34" i="9" s="1"/>
  <c r="R41" i="9" s="1"/>
  <c r="W33" i="9"/>
  <c r="W34" i="9" s="1"/>
  <c r="W41" i="9" s="1"/>
  <c r="AA54" i="9"/>
  <c r="AA55" i="9" s="1"/>
  <c r="AA62" i="9" s="1"/>
  <c r="U13" i="9"/>
  <c r="U14" i="9" s="1"/>
  <c r="U21" i="9" s="1"/>
  <c r="P13" i="9"/>
  <c r="P14" i="9" s="1"/>
  <c r="P21" i="9" s="1"/>
  <c r="K54" i="9"/>
  <c r="K55" i="9" s="1"/>
  <c r="K62" i="9" s="1"/>
  <c r="R54" i="9"/>
  <c r="R55" i="9" s="1"/>
  <c r="R62" i="9" s="1"/>
  <c r="S33" i="9"/>
  <c r="S34" i="9" s="1"/>
  <c r="S41" i="9" s="1"/>
  <c r="V54" i="9"/>
  <c r="V55" i="9" s="1"/>
  <c r="V62" i="9" s="1"/>
  <c r="T13" i="9"/>
  <c r="T14" i="9" s="1"/>
  <c r="T21" i="9" s="1"/>
  <c r="P54" i="9"/>
  <c r="P55" i="9" s="1"/>
  <c r="P62" i="9" s="1"/>
  <c r="T33" i="9"/>
  <c r="T34" i="9" s="1"/>
  <c r="T41" i="9" s="1"/>
  <c r="H33" i="9"/>
  <c r="H34" i="9" s="1"/>
  <c r="H41" i="9" s="1"/>
  <c r="H54" i="9"/>
  <c r="H55" i="9" s="1"/>
  <c r="H62" i="9" s="1"/>
  <c r="R13" i="9"/>
  <c r="R14" i="9" s="1"/>
  <c r="R21" i="9" s="1"/>
  <c r="S54" i="9"/>
  <c r="S55" i="9" s="1"/>
  <c r="S62" i="9" s="1"/>
  <c r="C96" i="9"/>
  <c r="G33" i="9"/>
  <c r="G34" i="9" s="1"/>
  <c r="G41" i="9" s="1"/>
  <c r="W13" i="9"/>
  <c r="W14" i="9" s="1"/>
  <c r="W21" i="9" s="1"/>
  <c r="V33" i="9"/>
  <c r="V34" i="9" s="1"/>
  <c r="V41" i="9" s="1"/>
  <c r="F4" i="6" l="1"/>
  <c r="C88" i="9"/>
  <c r="F3" i="6"/>
  <c r="C89" i="9"/>
  <c r="E89" i="9" s="1"/>
  <c r="C4" i="6"/>
  <c r="E4" i="6"/>
  <c r="C3" i="6"/>
  <c r="D4" i="6"/>
  <c r="D3" i="6"/>
  <c r="E3" i="6"/>
  <c r="C87" i="9"/>
  <c r="D96" i="9"/>
  <c r="E96" i="9" s="1"/>
  <c r="D87" i="9"/>
  <c r="D88" i="9"/>
  <c r="E88" i="9" s="1"/>
  <c r="E87" i="9" l="1"/>
</calcChain>
</file>

<file path=xl/comments1.xml><?xml version="1.0" encoding="utf-8"?>
<comments xmlns="http://schemas.openxmlformats.org/spreadsheetml/2006/main">
  <authors>
    <author>IRMA SALAS SILVA</author>
  </authors>
  <commentList>
    <comment ref="C10" authorId="0" shapeId="0">
      <text>
        <r>
          <rPr>
            <b/>
            <sz val="9"/>
            <color indexed="81"/>
            <rFont val="Tahoma"/>
            <family val="2"/>
          </rPr>
          <t>IRMA SALAS SILVA:</t>
        </r>
        <r>
          <rPr>
            <sz val="9"/>
            <color indexed="81"/>
            <rFont val="Tahoma"/>
            <family val="2"/>
          </rPr>
          <t xml:space="preserve">
stock constante</t>
        </r>
      </text>
    </comment>
  </commentList>
</comments>
</file>

<file path=xl/comments2.xml><?xml version="1.0" encoding="utf-8"?>
<comments xmlns="http://schemas.openxmlformats.org/spreadsheetml/2006/main">
  <authors>
    <author>IRMA SALAS SILVA</author>
  </authors>
  <commentList>
    <comment ref="K21" authorId="0" shapeId="0">
      <text>
        <r>
          <rPr>
            <b/>
            <sz val="9"/>
            <color indexed="81"/>
            <rFont val="Tahoma"/>
            <family val="2"/>
          </rPr>
          <t>IRMA SALAS SILVA:</t>
        </r>
        <r>
          <rPr>
            <sz val="9"/>
            <color indexed="81"/>
            <rFont val="Tahoma"/>
            <family val="2"/>
          </rPr>
          <t xml:space="preserve">
Aumento debido al pago de la cuota Fondos ENAMI</t>
        </r>
      </text>
    </comment>
  </commentList>
</comments>
</file>

<file path=xl/sharedStrings.xml><?xml version="1.0" encoding="utf-8"?>
<sst xmlns="http://schemas.openxmlformats.org/spreadsheetml/2006/main" count="246" uniqueCount="169">
  <si>
    <t>Estimación de costos</t>
  </si>
  <si>
    <t>Equipos</t>
  </si>
  <si>
    <t>Arriendo de maquinaria</t>
  </si>
  <si>
    <t>Repuestos</t>
  </si>
  <si>
    <t>Accesos</t>
  </si>
  <si>
    <t>Construcción caminos</t>
  </si>
  <si>
    <t>Otros</t>
  </si>
  <si>
    <t>Remuneraciones</t>
  </si>
  <si>
    <t>Materiales</t>
  </si>
  <si>
    <t>Herramientas</t>
  </si>
  <si>
    <t>Aceros de perforación</t>
  </si>
  <si>
    <t>Neumáticos</t>
  </si>
  <si>
    <t>Explosivos</t>
  </si>
  <si>
    <t>Suministros</t>
  </si>
  <si>
    <t>Implementos de seguridad</t>
  </si>
  <si>
    <t>Proyección valor cobre según producción</t>
  </si>
  <si>
    <t>VAN</t>
  </si>
  <si>
    <t>TIR</t>
  </si>
  <si>
    <t>PAYBACK</t>
  </si>
  <si>
    <t>se devuelve con la venta o hipoteca de propiedades mineras</t>
  </si>
  <si>
    <t>Item</t>
  </si>
  <si>
    <t>Unidad</t>
  </si>
  <si>
    <t>Valor</t>
  </si>
  <si>
    <t>USD/Ton</t>
  </si>
  <si>
    <t>Costo Transporte</t>
  </si>
  <si>
    <t>Costo Perforación</t>
  </si>
  <si>
    <t>Costo Tronadura</t>
  </si>
  <si>
    <t>Cargador frontal LHD</t>
  </si>
  <si>
    <t>Camión de transporte</t>
  </si>
  <si>
    <t>Equipo de Perforación</t>
  </si>
  <si>
    <t>Compresor</t>
  </si>
  <si>
    <t>Excavadora</t>
  </si>
  <si>
    <t>Cantidad</t>
  </si>
  <si>
    <t>Costo Unitario</t>
  </si>
  <si>
    <t>Total</t>
  </si>
  <si>
    <t>Repuestos maquinaria</t>
  </si>
  <si>
    <t>Insumos maquinaria</t>
  </si>
  <si>
    <t>Instalación e infraestructura</t>
  </si>
  <si>
    <t>Campamento minero</t>
  </si>
  <si>
    <t>Habilitación de base minera</t>
  </si>
  <si>
    <t>Especificación</t>
  </si>
  <si>
    <t>Casco con portalámpara</t>
  </si>
  <si>
    <t>Lámpara minera</t>
  </si>
  <si>
    <t>Tapones auditivos</t>
  </si>
  <si>
    <t>Audífonos auditivos</t>
  </si>
  <si>
    <t>Barbiquejo</t>
  </si>
  <si>
    <t>Gafas de seguridad</t>
  </si>
  <si>
    <t>Máscara 3m</t>
  </si>
  <si>
    <t>Filtro de polución máscara</t>
  </si>
  <si>
    <t>Buzo piloto</t>
  </si>
  <si>
    <t>Guantes PVC</t>
  </si>
  <si>
    <t>Cinturón minero</t>
  </si>
  <si>
    <t>Botas de seguridad minera</t>
  </si>
  <si>
    <t>Botín de seguridad</t>
  </si>
  <si>
    <t>Insumos</t>
  </si>
  <si>
    <t>Categoría</t>
  </si>
  <si>
    <t>Combustible maquinaria</t>
  </si>
  <si>
    <t>Diésel</t>
  </si>
  <si>
    <t>Gastos de campamento, alimentación y hospedaje</t>
  </si>
  <si>
    <t>Gastos de administración y oficina</t>
  </si>
  <si>
    <t>Gastos de contingencias</t>
  </si>
  <si>
    <t>Remuneraciones trabajadores</t>
  </si>
  <si>
    <t>Administrador</t>
  </si>
  <si>
    <t>Jefe de mina</t>
  </si>
  <si>
    <t>Asesor prevencionista</t>
  </si>
  <si>
    <t>Cancheros</t>
  </si>
  <si>
    <t>Ayudante perforista</t>
  </si>
  <si>
    <t>Operador</t>
  </si>
  <si>
    <t>Cocinera</t>
  </si>
  <si>
    <t xml:space="preserve">Auxiliar aseo </t>
  </si>
  <si>
    <t>Artículos de Oficina</t>
  </si>
  <si>
    <t>Oficina faena (gastos de administración)</t>
  </si>
  <si>
    <t>Computación e informática</t>
  </si>
  <si>
    <t>Materiales de aseo</t>
  </si>
  <si>
    <t>Celulares</t>
  </si>
  <si>
    <t>Internet</t>
  </si>
  <si>
    <t>Gastos generales semanales</t>
  </si>
  <si>
    <t>VALOR USD</t>
  </si>
  <si>
    <t>Costo Carguío</t>
  </si>
  <si>
    <t>Perforistas</t>
  </si>
  <si>
    <t>Producción mensual esperada</t>
  </si>
  <si>
    <t>Producción mensual real</t>
  </si>
  <si>
    <t>Producción mensual óptima</t>
  </si>
  <si>
    <t>Maquinaria</t>
  </si>
  <si>
    <t>Camionetas</t>
  </si>
  <si>
    <t>Seguro camionetas</t>
  </si>
  <si>
    <t>Gastos fijos</t>
  </si>
  <si>
    <t>Precio nominal cobre anual ¢/lb 2023</t>
  </si>
  <si>
    <t>Precio nominal cobre anual ¢/lb 2024</t>
  </si>
  <si>
    <t>VALOR USD 2023</t>
  </si>
  <si>
    <t>VALOR USD 2024</t>
  </si>
  <si>
    <t>Ley media esperada</t>
  </si>
  <si>
    <t>Ley media real</t>
  </si>
  <si>
    <t>Ley media óptima</t>
  </si>
  <si>
    <t>PROYECCIONES</t>
  </si>
  <si>
    <t>Producción ton/mes</t>
  </si>
  <si>
    <t>banco central</t>
  </si>
  <si>
    <t xml:space="preserve">Materiales </t>
  </si>
  <si>
    <t>Herramientas de uso</t>
  </si>
  <si>
    <t>Costos Variables</t>
  </si>
  <si>
    <t>Costos Fijos</t>
  </si>
  <si>
    <t>Contabilidad y cotizaciones</t>
  </si>
  <si>
    <t>Pago imposiciones</t>
  </si>
  <si>
    <t>Mecánico</t>
  </si>
  <si>
    <t>Personal mecánico</t>
  </si>
  <si>
    <t>Patentes</t>
  </si>
  <si>
    <t>Pago de patentes mineras</t>
  </si>
  <si>
    <t>Permisos</t>
  </si>
  <si>
    <t>Permisos proyecto minero</t>
  </si>
  <si>
    <t>Suministros básicos</t>
  </si>
  <si>
    <t>ecuación de cálculo</t>
  </si>
  <si>
    <t>precio enami paga el 45% del valor</t>
  </si>
  <si>
    <t>0,45 x valor libra del cobre</t>
  </si>
  <si>
    <t>Precio ENAMI USD/lb</t>
  </si>
  <si>
    <t>Tarifa Bolsa de Comercio de Londres ¢/lb</t>
  </si>
  <si>
    <t>produc x (ley media/100) x 2205 x precio enami</t>
  </si>
  <si>
    <t>Ingresos precio de cobre por producción mensual</t>
  </si>
  <si>
    <t>2205 = conversión de libra a tonelada</t>
  </si>
  <si>
    <t>Ingresos 2023</t>
  </si>
  <si>
    <t xml:space="preserve">Producción mensual esperada </t>
  </si>
  <si>
    <t xml:space="preserve">Producción mensual óptima </t>
  </si>
  <si>
    <t>Ingresos 2024</t>
  </si>
  <si>
    <t>+ Ingresos</t>
  </si>
  <si>
    <t>- Costos de Operación</t>
  </si>
  <si>
    <t>+ Depreciación</t>
  </si>
  <si>
    <t>Inversión</t>
  </si>
  <si>
    <t>+ Valor residual</t>
  </si>
  <si>
    <t>- Capital de trabajo</t>
  </si>
  <si>
    <t>Impuesto 19%</t>
  </si>
  <si>
    <t>= Utilidad antes de impuesto</t>
  </si>
  <si>
    <t>= Utilidad despúes de impuesto</t>
  </si>
  <si>
    <t>Flujo de Caja</t>
  </si>
  <si>
    <t>- Depreciación (Infraestructura y camionetas)</t>
  </si>
  <si>
    <t>USD/mes</t>
  </si>
  <si>
    <t>Flujo de caja produc. Real al 2,3%</t>
  </si>
  <si>
    <t>Flujo de caja produc. Esperada al 1,1%</t>
  </si>
  <si>
    <t>Flujo de caja produc. óptima al 1,5%</t>
  </si>
  <si>
    <t>Flujo de caja real al 2,3%</t>
  </si>
  <si>
    <t>Flujo de caja esperado al 1,1%</t>
  </si>
  <si>
    <t>Flujo de caja óptimo al 1,5%</t>
  </si>
  <si>
    <t>Flujo esperado 1,1</t>
  </si>
  <si>
    <t>Flujo real 2,3</t>
  </si>
  <si>
    <t>Flujo óptimo 1,5</t>
  </si>
  <si>
    <t>Resumen costos</t>
  </si>
  <si>
    <t>Costos operación mina</t>
  </si>
  <si>
    <t>Costos operación proceso</t>
  </si>
  <si>
    <t>Costos totales</t>
  </si>
  <si>
    <t>%</t>
  </si>
  <si>
    <t>Programa reconocimiento de recursos y/o reservas ENAMI</t>
  </si>
  <si>
    <t>Caminos de acceso</t>
  </si>
  <si>
    <t>Financiamiento Pago a ENAMI</t>
  </si>
  <si>
    <t>Equipamiento</t>
  </si>
  <si>
    <t>Otros gastos de administración</t>
  </si>
  <si>
    <t>Producción mensual pesimista</t>
  </si>
  <si>
    <t>Ley media pesimista</t>
  </si>
  <si>
    <t>Flujo de caja produc. pesimista al 0,8%</t>
  </si>
  <si>
    <t>Flujo de caja pesimista al 0,8%</t>
  </si>
  <si>
    <t>Flujo pesimista 0,8</t>
  </si>
  <si>
    <t>Ley Media Cu T %</t>
  </si>
  <si>
    <t>no recupera en periodo estimado</t>
  </si>
  <si>
    <t>CLP</t>
  </si>
  <si>
    <t>USD</t>
  </si>
  <si>
    <t>COSTOS INVERSIÓN INICIAL MINA</t>
  </si>
  <si>
    <t>COSTOS OPERACIÓN MINA MENSUAL (COSTOS FIJOS)</t>
  </si>
  <si>
    <t>COSTOS VARIABLES MENSUALES</t>
  </si>
  <si>
    <t>Mantención maquinaria cada dos meses</t>
  </si>
  <si>
    <t>Cada 12 meses en marzo</t>
  </si>
  <si>
    <t>Cada 6 meses</t>
  </si>
  <si>
    <t>COSTOS FIJOS OPERACIÓN PROCESOS MINEROS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</si>
</sst>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&quot;$&quot;#,##0;[Red]&quot;$&quot;\-#,##0"/>
    <numFmt numFmtId="165" formatCode="_ &quot;$&quot;* #,##0_ ;_ &quot;$&quot;* \-#,##0_ ;_ &quot;$&quot;* &quot;-&quot;_ ;_ @_ "/>
    <numFmt numFmtId="166" formatCode="&quot;$&quot;#,##0"/>
    <numFmt numFmtId="167" formatCode="&quot;$&quot;#,##0.00"/>
    <numFmt numFmtId="168" formatCode="#,##0.000"/>
    <numFmt numFmtId="169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/>
    <xf numFmtId="166" fontId="0" fillId="0" borderId="0" xfId="0" applyNumberFormat="1"/>
    <xf numFmtId="0" fontId="3" fillId="0" borderId="2" xfId="0" applyFont="1" applyBorder="1"/>
    <xf numFmtId="0" fontId="0" fillId="0" borderId="2" xfId="0" applyBorder="1"/>
    <xf numFmtId="166" fontId="0" fillId="0" borderId="2" xfId="0" applyNumberFormat="1" applyBorder="1"/>
    <xf numFmtId="166" fontId="0" fillId="0" borderId="2" xfId="1" applyNumberFormat="1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wrapText="1"/>
    </xf>
    <xf numFmtId="0" fontId="2" fillId="0" borderId="2" xfId="0" applyFont="1" applyBorder="1" applyAlignment="1">
      <alignment horizontal="center"/>
    </xf>
    <xf numFmtId="166" fontId="2" fillId="0" borderId="2" xfId="0" applyNumberFormat="1" applyFont="1" applyBorder="1"/>
    <xf numFmtId="0" fontId="2" fillId="0" borderId="2" xfId="0" applyFont="1" applyBorder="1"/>
    <xf numFmtId="0" fontId="2" fillId="7" borderId="2" xfId="0" applyFont="1" applyFill="1" applyBorder="1"/>
    <xf numFmtId="0" fontId="0" fillId="2" borderId="2" xfId="0" applyFill="1" applyBorder="1" applyAlignment="1">
      <alignment horizontal="left" wrapText="1"/>
    </xf>
    <xf numFmtId="168" fontId="0" fillId="0" borderId="0" xfId="0" applyNumberFormat="1"/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3" fontId="2" fillId="0" borderId="2" xfId="0" applyNumberFormat="1" applyFont="1" applyBorder="1"/>
    <xf numFmtId="10" fontId="0" fillId="0" borderId="0" xfId="0" applyNumberFormat="1"/>
    <xf numFmtId="0" fontId="6" fillId="0" borderId="0" xfId="0" applyFont="1"/>
    <xf numFmtId="0" fontId="2" fillId="2" borderId="2" xfId="0" applyFont="1" applyFill="1" applyBorder="1"/>
    <xf numFmtId="166" fontId="2" fillId="2" borderId="2" xfId="0" applyNumberFormat="1" applyFont="1" applyFill="1" applyBorder="1"/>
    <xf numFmtId="0" fontId="0" fillId="3" borderId="2" xfId="0" applyFill="1" applyBorder="1"/>
    <xf numFmtId="166" fontId="2" fillId="9" borderId="2" xfId="0" applyNumberFormat="1" applyFont="1" applyFill="1" applyBorder="1"/>
    <xf numFmtId="166" fontId="0" fillId="0" borderId="3" xfId="0" applyNumberFormat="1" applyBorder="1"/>
    <xf numFmtId="0" fontId="0" fillId="4" borderId="3" xfId="0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7" borderId="5" xfId="0" applyFont="1" applyFill="1" applyBorder="1"/>
    <xf numFmtId="167" fontId="0" fillId="0" borderId="5" xfId="0" applyNumberFormat="1" applyBorder="1"/>
    <xf numFmtId="0" fontId="2" fillId="0" borderId="6" xfId="0" applyFont="1" applyBorder="1"/>
    <xf numFmtId="0" fontId="0" fillId="0" borderId="6" xfId="0" applyBorder="1"/>
    <xf numFmtId="0" fontId="0" fillId="2" borderId="3" xfId="0" applyFill="1" applyBorder="1" applyAlignment="1">
      <alignment vertical="center" wrapText="1"/>
    </xf>
    <xf numFmtId="0" fontId="0" fillId="8" borderId="2" xfId="0" applyFill="1" applyBorder="1" applyAlignment="1">
      <alignment horizontal="left" vertical="center"/>
    </xf>
    <xf numFmtId="0" fontId="0" fillId="3" borderId="2" xfId="0" applyFill="1" applyBorder="1" applyAlignment="1">
      <alignment vertical="center" wrapText="1"/>
    </xf>
    <xf numFmtId="166" fontId="2" fillId="0" borderId="0" xfId="0" applyNumberFormat="1" applyFont="1"/>
    <xf numFmtId="166" fontId="0" fillId="0" borderId="7" xfId="0" applyNumberFormat="1" applyBorder="1"/>
    <xf numFmtId="0" fontId="0" fillId="2" borderId="2" xfId="0" applyFill="1" applyBorder="1"/>
    <xf numFmtId="0" fontId="2" fillId="0" borderId="5" xfId="0" applyFont="1" applyBorder="1"/>
    <xf numFmtId="0" fontId="0" fillId="0" borderId="2" xfId="0" applyBorder="1" applyAlignment="1">
      <alignment horizontal="center" wrapText="1"/>
    </xf>
    <xf numFmtId="0" fontId="0" fillId="0" borderId="6" xfId="0" applyBorder="1" applyAlignment="1">
      <alignment vertical="center"/>
    </xf>
    <xf numFmtId="10" fontId="6" fillId="0" borderId="2" xfId="0" applyNumberFormat="1" applyFont="1" applyBorder="1" applyAlignment="1">
      <alignment horizontal="center"/>
    </xf>
    <xf numFmtId="0" fontId="6" fillId="0" borderId="2" xfId="0" applyFont="1" applyBorder="1"/>
    <xf numFmtId="9" fontId="0" fillId="0" borderId="0" xfId="0" applyNumberFormat="1"/>
    <xf numFmtId="0" fontId="0" fillId="10" borderId="2" xfId="0" applyFill="1" applyBorder="1"/>
    <xf numFmtId="167" fontId="0" fillId="10" borderId="5" xfId="0" applyNumberFormat="1" applyFill="1" applyBorder="1"/>
    <xf numFmtId="17" fontId="0" fillId="0" borderId="2" xfId="0" applyNumberFormat="1" applyBorder="1"/>
    <xf numFmtId="0" fontId="0" fillId="0" borderId="2" xfId="0" quotePrefix="1" applyBorder="1"/>
    <xf numFmtId="0" fontId="0" fillId="0" borderId="2" xfId="0" quotePrefix="1" applyBorder="1" applyAlignment="1">
      <alignment horizontal="right"/>
    </xf>
    <xf numFmtId="0" fontId="0" fillId="0" borderId="2" xfId="0" quotePrefix="1" applyBorder="1" applyAlignment="1">
      <alignment wrapText="1"/>
    </xf>
    <xf numFmtId="9" fontId="0" fillId="0" borderId="2" xfId="0" applyNumberFormat="1" applyBorder="1"/>
    <xf numFmtId="0" fontId="3" fillId="11" borderId="2" xfId="0" applyFont="1" applyFill="1" applyBorder="1"/>
    <xf numFmtId="0" fontId="0" fillId="11" borderId="2" xfId="0" applyFill="1" applyBorder="1" applyAlignment="1">
      <alignment horizontal="right"/>
    </xf>
    <xf numFmtId="166" fontId="0" fillId="11" borderId="2" xfId="0" applyNumberFormat="1" applyFill="1" applyBorder="1"/>
    <xf numFmtId="166" fontId="0" fillId="0" borderId="2" xfId="0" quotePrefix="1" applyNumberFormat="1" applyBorder="1"/>
    <xf numFmtId="17" fontId="0" fillId="0" borderId="0" xfId="0" applyNumberFormat="1"/>
    <xf numFmtId="169" fontId="0" fillId="0" borderId="0" xfId="0" applyNumberFormat="1"/>
    <xf numFmtId="10" fontId="6" fillId="0" borderId="0" xfId="0" applyNumberFormat="1" applyFont="1" applyAlignment="1">
      <alignment horizontal="center"/>
    </xf>
    <xf numFmtId="0" fontId="0" fillId="0" borderId="3" xfId="0" applyBorder="1"/>
    <xf numFmtId="3" fontId="2" fillId="0" borderId="3" xfId="0" applyNumberFormat="1" applyFont="1" applyBorder="1"/>
    <xf numFmtId="0" fontId="0" fillId="0" borderId="7" xfId="0" applyBorder="1"/>
    <xf numFmtId="3" fontId="2" fillId="0" borderId="7" xfId="0" applyNumberFormat="1" applyFont="1" applyBorder="1"/>
    <xf numFmtId="0" fontId="2" fillId="0" borderId="7" xfId="0" applyFont="1" applyBorder="1"/>
    <xf numFmtId="166" fontId="2" fillId="0" borderId="3" xfId="0" applyNumberFormat="1" applyFont="1" applyBorder="1"/>
    <xf numFmtId="166" fontId="2" fillId="0" borderId="7" xfId="0" applyNumberFormat="1" applyFont="1" applyBorder="1"/>
    <xf numFmtId="0" fontId="0" fillId="0" borderId="0" xfId="0" applyAlignment="1">
      <alignment vertical="center" wrapText="1"/>
    </xf>
    <xf numFmtId="10" fontId="0" fillId="0" borderId="2" xfId="0" applyNumberForma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7" fillId="0" borderId="2" xfId="0" applyNumberFormat="1" applyFont="1" applyBorder="1"/>
    <xf numFmtId="164" fontId="0" fillId="0" borderId="2" xfId="0" applyNumberFormat="1" applyBorder="1"/>
    <xf numFmtId="0" fontId="6" fillId="0" borderId="5" xfId="0" applyFont="1" applyBorder="1"/>
    <xf numFmtId="0" fontId="0" fillId="0" borderId="2" xfId="0" applyBorder="1" applyAlignment="1">
      <alignment horizontal="center" vertical="center" wrapText="1"/>
    </xf>
    <xf numFmtId="166" fontId="8" fillId="0" borderId="2" xfId="0" applyNumberFormat="1" applyFont="1" applyBorder="1"/>
    <xf numFmtId="166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/>
    <xf numFmtId="166" fontId="0" fillId="0" borderId="3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3" xfId="0" applyNumberFormat="1" applyBorder="1" applyAlignment="1">
      <alignment horizontal="right"/>
    </xf>
    <xf numFmtId="166" fontId="0" fillId="0" borderId="4" xfId="0" applyNumberFormat="1" applyBorder="1" applyAlignment="1">
      <alignment horizontal="right"/>
    </xf>
    <xf numFmtId="0" fontId="0" fillId="0" borderId="2" xfId="0" applyBorder="1" applyAlignment="1">
      <alignment horizontal="left" vertical="center" wrapText="1"/>
    </xf>
    <xf numFmtId="0" fontId="0" fillId="5" borderId="2" xfId="0" applyFill="1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Distribución de costos operación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'Costos operación mina'!$L$6</c:f>
              <c:strCache>
                <c:ptCount val="1"/>
                <c:pt idx="0">
                  <c:v>Equipamiento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operación mina'!$K$7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'Costos operación mina'!$L$7</c:f>
              <c:numCache>
                <c:formatCode>0.0%</c:formatCode>
                <c:ptCount val="1"/>
                <c:pt idx="0">
                  <c:v>0.30099999999999999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7D-4524-B129-CE2E778BE85B}"/>
            </c:ext>
          </c:extLst>
        </c:ser>
        <c:ser>
          <c:idx val="1"/>
          <c:order val="1"/>
          <c:tx>
            <c:strRef>
              <c:f>'Costos operación mina'!$M$6</c:f>
              <c:strCache>
                <c:ptCount val="1"/>
                <c:pt idx="0">
                  <c:v>Materiales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operación mina'!$K$7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'Costos operación mina'!$M$7</c:f>
              <c:numCache>
                <c:formatCode>0.0%</c:formatCode>
                <c:ptCount val="1"/>
                <c:pt idx="0">
                  <c:v>0.20699999999999999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7D-4524-B129-CE2E778BE85B}"/>
            </c:ext>
          </c:extLst>
        </c:ser>
        <c:ser>
          <c:idx val="2"/>
          <c:order val="2"/>
          <c:tx>
            <c:strRef>
              <c:f>'Costos operación mina'!$N$6</c:f>
              <c:strCache>
                <c:ptCount val="1"/>
                <c:pt idx="0">
                  <c:v>Otros gastos de administración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operación mina'!$K$7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'Costos operación mina'!$N$7</c:f>
              <c:numCache>
                <c:formatCode>0.0%</c:formatCode>
                <c:ptCount val="1"/>
                <c:pt idx="0">
                  <c:v>0.13600000000000001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7D-4524-B129-CE2E778BE85B}"/>
            </c:ext>
          </c:extLst>
        </c:ser>
        <c:ser>
          <c:idx val="3"/>
          <c:order val="3"/>
          <c:tx>
            <c:strRef>
              <c:f>'Costos operación mina'!$O$6</c:f>
              <c:strCache>
                <c:ptCount val="1"/>
                <c:pt idx="0">
                  <c:v>Remuneraciones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'Costos operación mina'!$K$7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'Costos operación mina'!$O$7</c:f>
              <c:numCache>
                <c:formatCode>0.0%</c:formatCode>
                <c:ptCount val="1"/>
                <c:pt idx="0">
                  <c:v>0.35599999999999998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37D-4524-B129-CE2E778BE85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929198240"/>
        <c:axId val="914486192"/>
      </c:barChart>
      <c:catAx>
        <c:axId val="92919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14486192"/>
        <c:crosses val="autoZero"/>
        <c:auto val="1"/>
        <c:lblAlgn val="ctr"/>
        <c:lblOffset val="100"/>
        <c:noMultiLvlLbl val="0"/>
      </c:catAx>
      <c:valAx>
        <c:axId val="91448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2919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Escenarios</a:t>
            </a:r>
            <a:r>
              <a:rPr lang="es-CL" baseline="0"/>
              <a:t> Ingresos 2023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Ingresos!$B$18</c:f>
              <c:strCache>
                <c:ptCount val="1"/>
                <c:pt idx="0">
                  <c:v>Producción mensual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Ingresos!$C$17:$F$17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Ingresos!$C$18:$F$18</c:f>
              <c:numCache>
                <c:formatCode>"$"#,##0</c:formatCode>
                <c:ptCount val="4"/>
                <c:pt idx="0">
                  <c:v>95809.675500000012</c:v>
                </c:pt>
                <c:pt idx="1">
                  <c:v>130649.55750000001</c:v>
                </c:pt>
                <c:pt idx="2">
                  <c:v>200329.32150000002</c:v>
                </c:pt>
                <c:pt idx="3">
                  <c:v>69679.76400000001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F9-43A0-8151-FE3CD76B4B4A}"/>
            </c:ext>
          </c:extLst>
        </c:ser>
        <c:ser>
          <c:idx val="1"/>
          <c:order val="1"/>
          <c:tx>
            <c:strRef>
              <c:f>Ingresos!$B$19</c:f>
              <c:strCache>
                <c:ptCount val="1"/>
                <c:pt idx="0">
                  <c:v>Producción mensual esperada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Ingresos!$C$17:$F$17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Ingresos!$C$19:$F$19</c:f>
              <c:numCache>
                <c:formatCode>"$"#,##0</c:formatCode>
                <c:ptCount val="4"/>
                <c:pt idx="0">
                  <c:v>185086.87312500004</c:v>
                </c:pt>
                <c:pt idx="1">
                  <c:v>252391.19062500002</c:v>
                </c:pt>
                <c:pt idx="2">
                  <c:v>386999.825625</c:v>
                </c:pt>
                <c:pt idx="3">
                  <c:v>134608.63500000001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F9-43A0-8151-FE3CD76B4B4A}"/>
            </c:ext>
          </c:extLst>
        </c:ser>
        <c:ser>
          <c:idx val="2"/>
          <c:order val="2"/>
          <c:tx>
            <c:strRef>
              <c:f>Ingresos!$B$20</c:f>
              <c:strCache>
                <c:ptCount val="1"/>
                <c:pt idx="0">
                  <c:v>Producción mensual óptima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Ingresos!$C$17:$F$17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Ingresos!$C$20:$F$20</c:f>
              <c:numCache>
                <c:formatCode>"$"#,##0</c:formatCode>
                <c:ptCount val="4"/>
                <c:pt idx="0">
                  <c:v>152424.48375000004</c:v>
                </c:pt>
                <c:pt idx="1">
                  <c:v>207851.56875000001</c:v>
                </c:pt>
                <c:pt idx="2">
                  <c:v>318705.73875000002</c:v>
                </c:pt>
                <c:pt idx="3">
                  <c:v>110854.17000000001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F9-43A0-8151-FE3CD76B4B4A}"/>
            </c:ext>
          </c:extLst>
        </c:ser>
        <c:ser>
          <c:idx val="3"/>
          <c:order val="3"/>
          <c:tx>
            <c:strRef>
              <c:f>Ingresos!$B$21</c:f>
              <c:strCache>
                <c:ptCount val="1"/>
                <c:pt idx="0">
                  <c:v>Producción mensual pesimista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Ingresos!$C$17:$F$17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Ingresos!$C$21:$F$21</c:f>
              <c:numCache>
                <c:formatCode>"$"#,##0</c:formatCode>
                <c:ptCount val="4"/>
                <c:pt idx="0">
                  <c:v>87099.705000000016</c:v>
                </c:pt>
                <c:pt idx="1">
                  <c:v>118772.32500000001</c:v>
                </c:pt>
                <c:pt idx="2">
                  <c:v>96486.390000000014</c:v>
                </c:pt>
                <c:pt idx="3">
                  <c:v>63345.240000000005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F9-43A0-8151-FE3CD76B4B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8441840"/>
        <c:axId val="916839904"/>
      </c:barChart>
      <c:catAx>
        <c:axId val="1008441840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16839904"/>
        <c:crosses val="autoZero"/>
        <c:auto val="1"/>
        <c:lblAlgn val="ctr"/>
        <c:lblOffset val="100"/>
        <c:noMultiLvlLbl val="0"/>
      </c:catAx>
      <c:valAx>
        <c:axId val="91683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008441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Escenarios</a:t>
            </a:r>
            <a:r>
              <a:rPr lang="es-CL" baseline="0"/>
              <a:t> Ingresos 2024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Ingresos!$B$24</c:f>
              <c:strCache>
                <c:ptCount val="1"/>
                <c:pt idx="0">
                  <c:v>Producción mensual real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Ingresos!$C$23:$F$23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Ingresos!$C$24:$F$24</c:f>
              <c:numCache>
                <c:formatCode>"$"#,##0</c:formatCode>
                <c:ptCount val="4"/>
                <c:pt idx="0">
                  <c:v>106135.02900000002</c:v>
                </c:pt>
                <c:pt idx="1">
                  <c:v>144729.58500000002</c:v>
                </c:pt>
                <c:pt idx="2">
                  <c:v>221918.69700000001</c:v>
                </c:pt>
                <c:pt idx="3">
                  <c:v>77189.112000000008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8B-4FE8-AF2E-BEBF29EEE644}"/>
            </c:ext>
          </c:extLst>
        </c:ser>
        <c:ser>
          <c:idx val="1"/>
          <c:order val="1"/>
          <c:tx>
            <c:strRef>
              <c:f>Ingresos!$B$25</c:f>
              <c:strCache>
                <c:ptCount val="1"/>
                <c:pt idx="0">
                  <c:v>Producción mensual esperada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Ingresos!$C$23:$F$23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Ingresos!$C$25:$F$25</c:f>
              <c:numCache>
                <c:formatCode>"$"#,##0</c:formatCode>
                <c:ptCount val="4"/>
                <c:pt idx="0">
                  <c:v>205033.57875000004</c:v>
                </c:pt>
                <c:pt idx="1">
                  <c:v>279591.24375000002</c:v>
                </c:pt>
                <c:pt idx="2">
                  <c:v>428706.57375000004</c:v>
                </c:pt>
                <c:pt idx="3">
                  <c:v>149115.33000000002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8B-4FE8-AF2E-BEBF29EEE644}"/>
            </c:ext>
          </c:extLst>
        </c:ser>
        <c:ser>
          <c:idx val="2"/>
          <c:order val="2"/>
          <c:tx>
            <c:strRef>
              <c:f>Ingresos!$B$26</c:f>
              <c:strCache>
                <c:ptCount val="1"/>
                <c:pt idx="0">
                  <c:v>Producción mensual óptima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Ingresos!$C$23:$F$23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Ingresos!$C$26:$F$26</c:f>
              <c:numCache>
                <c:formatCode>"$"#,##0</c:formatCode>
                <c:ptCount val="4"/>
                <c:pt idx="0">
                  <c:v>168851.18250000002</c:v>
                </c:pt>
                <c:pt idx="1">
                  <c:v>230251.61250000002</c:v>
                </c:pt>
                <c:pt idx="2">
                  <c:v>353052.47250000003</c:v>
                </c:pt>
                <c:pt idx="3">
                  <c:v>122800.86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8B-4FE8-AF2E-BEBF29EEE644}"/>
            </c:ext>
          </c:extLst>
        </c:ser>
        <c:ser>
          <c:idx val="3"/>
          <c:order val="3"/>
          <c:tx>
            <c:strRef>
              <c:f>Ingresos!$B$27</c:f>
              <c:strCache>
                <c:ptCount val="1"/>
                <c:pt idx="0">
                  <c:v>Producción mensual pesimista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Ingresos!$C$23:$F$23</c:f>
              <c:numCache>
                <c:formatCode>0.00%</c:formatCode>
                <c:ptCount val="4"/>
                <c:pt idx="0">
                  <c:v>1.0999999999999999E-2</c:v>
                </c:pt>
                <c:pt idx="1">
                  <c:v>1.4999999999999999E-2</c:v>
                </c:pt>
                <c:pt idx="2">
                  <c:v>2.3E-2</c:v>
                </c:pt>
                <c:pt idx="3">
                  <c:v>8.0000000000000002E-3</c:v>
                </c:pt>
              </c:numCache>
            </c:numRef>
          </c:cat>
          <c:val>
            <c:numRef>
              <c:f>Ingresos!$C$27:$F$27</c:f>
              <c:numCache>
                <c:formatCode>"$"#,##0</c:formatCode>
                <c:ptCount val="4"/>
                <c:pt idx="0">
                  <c:v>96486.390000000014</c:v>
                </c:pt>
                <c:pt idx="1">
                  <c:v>131572.35</c:v>
                </c:pt>
                <c:pt idx="2">
                  <c:v>201744.27000000002</c:v>
                </c:pt>
                <c:pt idx="3">
                  <c:v>70171.92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8B-4FE8-AF2E-BEBF29EEE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825616"/>
        <c:axId val="694398544"/>
      </c:barChart>
      <c:catAx>
        <c:axId val="685825616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94398544"/>
        <c:crosses val="autoZero"/>
        <c:auto val="1"/>
        <c:lblAlgn val="ctr"/>
        <c:lblOffset val="100"/>
        <c:noMultiLvlLbl val="0"/>
      </c:catAx>
      <c:valAx>
        <c:axId val="694398544"/>
        <c:scaling>
          <c:orientation val="minMax"/>
          <c:max val="45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685825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Escenarios</a:t>
            </a:r>
            <a:r>
              <a:rPr lang="es-CL" baseline="0"/>
              <a:t> ingresos</a:t>
            </a:r>
            <a:endParaRPr lang="es-C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Ingresos!$C$29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Ingresos!$B$30:$B$32</c:f>
              <c:strCache>
                <c:ptCount val="3"/>
                <c:pt idx="0">
                  <c:v>Producción mensual esperada </c:v>
                </c:pt>
                <c:pt idx="1">
                  <c:v>Producción mensual óptima </c:v>
                </c:pt>
                <c:pt idx="2">
                  <c:v>Producción mensual pesimista</c:v>
                </c:pt>
              </c:strCache>
            </c:strRef>
          </c:cat>
          <c:val>
            <c:numRef>
              <c:f>Ingresos!$C$30:$C$32</c:f>
              <c:numCache>
                <c:formatCode>"$"#,##0</c:formatCode>
                <c:ptCount val="3"/>
                <c:pt idx="0">
                  <c:v>185086.87312500004</c:v>
                </c:pt>
                <c:pt idx="1">
                  <c:v>207851.56875000001</c:v>
                </c:pt>
                <c:pt idx="2">
                  <c:v>63345.240000000005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D3-404F-AA6C-C6B685E77BB9}"/>
            </c:ext>
          </c:extLst>
        </c:ser>
        <c:ser>
          <c:idx val="1"/>
          <c:order val="1"/>
          <c:tx>
            <c:strRef>
              <c:f>Ingresos!$D$29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Ingresos!$B$30:$B$32</c:f>
              <c:strCache>
                <c:ptCount val="3"/>
                <c:pt idx="0">
                  <c:v>Producción mensual esperada </c:v>
                </c:pt>
                <c:pt idx="1">
                  <c:v>Producción mensual óptima </c:v>
                </c:pt>
                <c:pt idx="2">
                  <c:v>Producción mensual pesimista</c:v>
                </c:pt>
              </c:strCache>
            </c:strRef>
          </c:cat>
          <c:val>
            <c:numRef>
              <c:f>Ingresos!$D$30:$D$32</c:f>
              <c:numCache>
                <c:formatCode>"$"#,##0</c:formatCode>
                <c:ptCount val="3"/>
                <c:pt idx="0">
                  <c:v>205033.57875000004</c:v>
                </c:pt>
                <c:pt idx="1">
                  <c:v>230251.61250000002</c:v>
                </c:pt>
                <c:pt idx="2">
                  <c:v>70171.92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D3-404F-AA6C-C6B685E77BB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00443440"/>
        <c:axId val="954085232"/>
      </c:barChart>
      <c:catAx>
        <c:axId val="80044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54085232"/>
        <c:crosses val="autoZero"/>
        <c:auto val="1"/>
        <c:lblAlgn val="ctr"/>
        <c:lblOffset val="100"/>
        <c:noMultiLvlLbl val="0"/>
      </c:catAx>
      <c:valAx>
        <c:axId val="95408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00443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Promedio Anual Escenarios Flujo de Caja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'Flujo de caja'!$C$86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'Flujo de caja'!$B$87:$B$89</c:f>
              <c:strCache>
                <c:ptCount val="3"/>
                <c:pt idx="0">
                  <c:v>Flujo de caja esperado al 1,1%</c:v>
                </c:pt>
                <c:pt idx="1">
                  <c:v>Flujo de caja óptimo al 1,5%</c:v>
                </c:pt>
                <c:pt idx="2">
                  <c:v>Flujo de caja pesimista al 0,8%</c:v>
                </c:pt>
              </c:strCache>
            </c:strRef>
          </c:cat>
          <c:val>
            <c:numRef>
              <c:f>'Flujo de caja'!$C$87:$C$89</c:f>
              <c:numCache>
                <c:formatCode>"$"#,##0</c:formatCode>
                <c:ptCount val="3"/>
                <c:pt idx="0">
                  <c:v>63992.398047285737</c:v>
                </c:pt>
                <c:pt idx="1">
                  <c:v>90062.252991245929</c:v>
                </c:pt>
                <c:pt idx="2">
                  <c:v>-11726.970320833643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5F-487A-ABA0-6BB7D5CFA873}"/>
            </c:ext>
          </c:extLst>
        </c:ser>
        <c:ser>
          <c:idx val="1"/>
          <c:order val="1"/>
          <c:tx>
            <c:strRef>
              <c:f>'Flujo de caja'!$D$86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'Flujo de caja'!$B$87:$B$89</c:f>
              <c:strCache>
                <c:ptCount val="3"/>
                <c:pt idx="0">
                  <c:v>Flujo de caja esperado al 1,1%</c:v>
                </c:pt>
                <c:pt idx="1">
                  <c:v>Flujo de caja óptimo al 1,5%</c:v>
                </c:pt>
                <c:pt idx="2">
                  <c:v>Flujo de caja pesimista al 0,8%</c:v>
                </c:pt>
              </c:strCache>
            </c:strRef>
          </c:cat>
          <c:val>
            <c:numRef>
              <c:f>'Flujo de caja'!$D$87:$D$89</c:f>
              <c:numCache>
                <c:formatCode>"$"#,##0</c:formatCode>
                <c:ptCount val="3"/>
                <c:pt idx="0">
                  <c:v>92616.586942521564</c:v>
                </c:pt>
                <c:pt idx="1">
                  <c:v>120673.64576773177</c:v>
                </c:pt>
                <c:pt idx="2">
                  <c:v>6269.997818152191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5F-487A-ABA0-6BB7D5CFA87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71579264"/>
        <c:axId val="967644592"/>
      </c:lineChart>
      <c:catAx>
        <c:axId val="57157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67644592"/>
        <c:crosses val="autoZero"/>
        <c:auto val="1"/>
        <c:lblAlgn val="ctr"/>
        <c:lblOffset val="100"/>
        <c:noMultiLvlLbl val="0"/>
      </c:catAx>
      <c:valAx>
        <c:axId val="967644592"/>
        <c:scaling>
          <c:orientation val="minMax"/>
          <c:max val="130000"/>
          <c:min val="-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571579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Resultados</a:t>
            </a:r>
            <a:r>
              <a:rPr lang="es-CL" baseline="0"/>
              <a:t> f</a:t>
            </a:r>
            <a:r>
              <a:rPr lang="es-CL"/>
              <a:t>lujos de caja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numRef>
              <c:f>'Flujo de caja'!$D$4:$AA$4</c:f>
              <c:numCache>
                <c:formatCode>mmm\-yy</c:formatCode>
                <c:ptCount val="24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  <c:pt idx="13">
                  <c:v>45323</c:v>
                </c:pt>
                <c:pt idx="14">
                  <c:v>45352</c:v>
                </c:pt>
                <c:pt idx="15">
                  <c:v>45383</c:v>
                </c:pt>
                <c:pt idx="16">
                  <c:v>45413</c:v>
                </c:pt>
                <c:pt idx="17">
                  <c:v>45444</c:v>
                </c:pt>
                <c:pt idx="18">
                  <c:v>45474</c:v>
                </c:pt>
                <c:pt idx="19">
                  <c:v>45505</c:v>
                </c:pt>
                <c:pt idx="20">
                  <c:v>45536</c:v>
                </c:pt>
                <c:pt idx="21">
                  <c:v>45566</c:v>
                </c:pt>
                <c:pt idx="22">
                  <c:v>45597</c:v>
                </c:pt>
                <c:pt idx="23">
                  <c:v>45627</c:v>
                </c:pt>
              </c:numCache>
            </c:numRef>
          </c:cat>
          <c:val>
            <c:numRef>
              <c:f>'Flujo de caja'!$D$21:$AA$21</c:f>
              <c:numCache>
                <c:formatCode>"$"#,##0</c:formatCode>
                <c:ptCount val="24"/>
                <c:pt idx="0">
                  <c:v>90488.734072503983</c:v>
                </c:pt>
                <c:pt idx="1">
                  <c:v>89743.906486297099</c:v>
                </c:pt>
                <c:pt idx="2">
                  <c:v>83040.458210435027</c:v>
                </c:pt>
                <c:pt idx="3">
                  <c:v>89743.906486297099</c:v>
                </c:pt>
                <c:pt idx="4">
                  <c:v>90488.734072503983</c:v>
                </c:pt>
                <c:pt idx="5">
                  <c:v>87379.0789000902</c:v>
                </c:pt>
                <c:pt idx="6">
                  <c:v>90488.734072503983</c:v>
                </c:pt>
                <c:pt idx="7">
                  <c:v>104494.7607364971</c:v>
                </c:pt>
                <c:pt idx="8">
                  <c:v>111082.58832270399</c:v>
                </c:pt>
                <c:pt idx="9">
                  <c:v>110337.7607364971</c:v>
                </c:pt>
                <c:pt idx="10">
                  <c:v>108717.7607364971</c:v>
                </c:pt>
                <c:pt idx="11">
                  <c:v>110337.7607364971</c:v>
                </c:pt>
                <c:pt idx="12">
                  <c:v>127892.17923145651</c:v>
                </c:pt>
                <c:pt idx="13">
                  <c:v>127129.82629028003</c:v>
                </c:pt>
                <c:pt idx="14">
                  <c:v>120268.6498196918</c:v>
                </c:pt>
                <c:pt idx="15">
                  <c:v>127129.82629028003</c:v>
                </c:pt>
                <c:pt idx="16">
                  <c:v>125471.70864322121</c:v>
                </c:pt>
                <c:pt idx="17">
                  <c:v>127129.82629028003</c:v>
                </c:pt>
                <c:pt idx="18">
                  <c:v>127892.17923145651</c:v>
                </c:pt>
                <c:pt idx="19">
                  <c:v>127129.82629028003</c:v>
                </c:pt>
                <c:pt idx="20">
                  <c:v>127892.17923145651</c:v>
                </c:pt>
                <c:pt idx="21">
                  <c:v>127129.82629028003</c:v>
                </c:pt>
                <c:pt idx="22">
                  <c:v>125471.70864322121</c:v>
                </c:pt>
                <c:pt idx="23">
                  <c:v>127129.82629028003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A6-467A-9C3D-F0F016FAA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4017040"/>
        <c:axId val="967659472"/>
      </c:lineChart>
      <c:dateAx>
        <c:axId val="8240170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67659472"/>
        <c:crosses val="autoZero"/>
        <c:auto val="1"/>
        <c:lblOffset val="100"/>
        <c:baseTimeUnit val="months"/>
      </c:dateAx>
      <c:valAx>
        <c:axId val="967659472"/>
        <c:scaling>
          <c:orientation val="minMax"/>
          <c:min val="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824017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742950</xdr:colOff>
      <xdr:row>7</xdr:row>
      <xdr:rowOff>128587</xdr:rowOff>
    </xdr:from>
    <xdr:to>
      <xdr:col>16</xdr:col>
      <xdr:colOff>742950</xdr:colOff>
      <xdr:row>20</xdr:row>
      <xdr:rowOff>14287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526F4DA-9FC8-7898-109E-3B29F1CD31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13</xdr:row>
      <xdr:rowOff>33337</xdr:rowOff>
    </xdr:from>
    <xdr:to>
      <xdr:col>9</xdr:col>
      <xdr:colOff>638175</xdr:colOff>
      <xdr:row>27</xdr:row>
      <xdr:rowOff>109537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480F3E-EB46-5647-5E4B-9CF784DFB4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333375</xdr:colOff>
      <xdr:row>28</xdr:row>
      <xdr:rowOff>4762</xdr:rowOff>
    </xdr:from>
    <xdr:to>
      <xdr:col>9</xdr:col>
      <xdr:colOff>619125</xdr:colOff>
      <xdr:row>42</xdr:row>
      <xdr:rowOff>80962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859B48C-652C-2B17-B883-F65CE1E921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542925</xdr:colOff>
      <xdr:row>22</xdr:row>
      <xdr:rowOff>157162</xdr:rowOff>
    </xdr:from>
    <xdr:to>
      <xdr:col>15</xdr:col>
      <xdr:colOff>104775</xdr:colOff>
      <xdr:row>37</xdr:row>
      <xdr:rowOff>42862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447972D-961E-11D9-6B9F-BDC0D13C13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561975</xdr:colOff>
      <xdr:row>83</xdr:row>
      <xdr:rowOff>42862</xdr:rowOff>
    </xdr:from>
    <xdr:to>
      <xdr:col>13</xdr:col>
      <xdr:colOff>447675</xdr:colOff>
      <xdr:row>98</xdr:row>
      <xdr:rowOff>161925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BD236E7-BE54-906E-2DA8-91BCE134EB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352425</xdr:colOff>
      <xdr:row>94</xdr:row>
      <xdr:rowOff>23812</xdr:rowOff>
    </xdr:from>
    <xdr:ext cx="126317" cy="17511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44DB79C7-50B7-58EC-A593-C6FDF37EF19C}"/>
                </a:ext>
              </a:extLst>
            </xdr:cNvPr>
            <xdr:cNvSpPr txBox="1"/>
          </xdr:nvSpPr>
          <xdr:spPr>
            <a:xfrm>
              <a:off x="4133850" y="18311812"/>
              <a:ext cx="126317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CL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L" sz="1100" b="0" i="1">
                            <a:latin typeface="Cambria Math" panose="02040503050406030204" pitchFamily="18" charset="0"/>
                          </a:rPr>
                          <m:t>𝑋</m:t>
                        </m:r>
                      </m:e>
                    </m:acc>
                  </m:oMath>
                </m:oMathPara>
              </a14:m>
              <a:endParaRPr lang="es-CL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44DB79C7-50B7-58EC-A593-C6FDF37EF19C}"/>
                </a:ext>
              </a:extLst>
            </xdr:cNvPr>
            <xdr:cNvSpPr txBox="1"/>
          </xdr:nvSpPr>
          <xdr:spPr>
            <a:xfrm>
              <a:off x="4133850" y="18311812"/>
              <a:ext cx="126317" cy="17511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CL" sz="1100" b="0" i="0">
                  <a:latin typeface="Cambria Math" panose="02040503050406030204" pitchFamily="18" charset="0"/>
                </a:rPr>
                <a:t>𝑋 ̅</a:t>
              </a:r>
              <a:endParaRPr lang="es-CL" sz="1100"/>
            </a:p>
          </xdr:txBody>
        </xdr:sp>
      </mc:Fallback>
    </mc:AlternateContent>
    <xdr:clientData/>
  </xdr:oneCellAnchor>
  <xdr:twoCellAnchor>
    <xdr:from>
      <xdr:col>27</xdr:col>
      <xdr:colOff>514350</xdr:colOff>
      <xdr:row>4</xdr:row>
      <xdr:rowOff>42862</xdr:rowOff>
    </xdr:from>
    <xdr:to>
      <xdr:col>34</xdr:col>
      <xdr:colOff>238126</xdr:colOff>
      <xdr:row>16</xdr:row>
      <xdr:rowOff>119062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4411C550-536B-DB12-AC3E-58B85DD22F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"/>
  <sheetViews>
    <sheetView workbookViewId="0">
      <selection activeCell="C6" sqref="C6"/>
    </sheetView>
  </sheetViews>
  <sheetFormatPr baseColWidth="10" defaultRowHeight="15" x14ac:dyDescent="0.25"/>
  <sheetData>
    <row r="2" spans="2:2" x14ac:dyDescent="0.25">
      <c r="B2" s="1" t="s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R25"/>
  <sheetViews>
    <sheetView workbookViewId="0">
      <selection activeCell="I14" sqref="I14"/>
    </sheetView>
  </sheetViews>
  <sheetFormatPr baseColWidth="10" defaultRowHeight="15" x14ac:dyDescent="0.25"/>
  <cols>
    <col min="2" max="2" width="17.140625" customWidth="1"/>
    <col min="3" max="3" width="15.85546875" customWidth="1"/>
    <col min="4" max="4" width="24.7109375" customWidth="1"/>
    <col min="5" max="5" width="13.140625" customWidth="1"/>
    <col min="6" max="6" width="26.7109375" customWidth="1"/>
    <col min="7" max="7" width="12.140625" bestFit="1" customWidth="1"/>
  </cols>
  <sheetData>
    <row r="3" spans="2:18" x14ac:dyDescent="0.25">
      <c r="B3" s="1" t="s">
        <v>162</v>
      </c>
    </row>
    <row r="4" spans="2:18" x14ac:dyDescent="0.25">
      <c r="B4" s="3"/>
      <c r="C4" s="4"/>
      <c r="D4" s="4" t="s">
        <v>40</v>
      </c>
      <c r="E4" s="4" t="s">
        <v>32</v>
      </c>
      <c r="F4" s="4" t="s">
        <v>33</v>
      </c>
      <c r="G4" s="4" t="s">
        <v>34</v>
      </c>
      <c r="M4">
        <v>870</v>
      </c>
    </row>
    <row r="5" spans="2:18" x14ac:dyDescent="0.25">
      <c r="B5" s="36" t="s">
        <v>107</v>
      </c>
      <c r="C5" s="4" t="s">
        <v>107</v>
      </c>
      <c r="D5" s="4" t="s">
        <v>108</v>
      </c>
      <c r="E5" s="4">
        <v>1</v>
      </c>
      <c r="F5" s="5">
        <v>500000</v>
      </c>
      <c r="G5" s="5">
        <f t="shared" ref="G5:G21" si="0">+E5*F5</f>
        <v>500000</v>
      </c>
    </row>
    <row r="6" spans="2:18" x14ac:dyDescent="0.25">
      <c r="B6" s="81" t="s">
        <v>13</v>
      </c>
      <c r="C6" s="80" t="s">
        <v>14</v>
      </c>
      <c r="D6" s="5" t="s">
        <v>41</v>
      </c>
      <c r="E6" s="4">
        <v>8</v>
      </c>
      <c r="F6" s="5">
        <v>9800</v>
      </c>
      <c r="G6" s="5">
        <f t="shared" si="0"/>
        <v>78400</v>
      </c>
      <c r="L6" s="2">
        <f>G5/M4</f>
        <v>574.71264367816093</v>
      </c>
    </row>
    <row r="7" spans="2:18" x14ac:dyDescent="0.25">
      <c r="B7" s="81"/>
      <c r="C7" s="80"/>
      <c r="D7" s="5" t="s">
        <v>42</v>
      </c>
      <c r="E7" s="4">
        <v>8</v>
      </c>
      <c r="F7" s="5">
        <v>5300</v>
      </c>
      <c r="G7" s="5">
        <f t="shared" si="0"/>
        <v>42400</v>
      </c>
    </row>
    <row r="8" spans="2:18" x14ac:dyDescent="0.25">
      <c r="B8" s="81"/>
      <c r="C8" s="80"/>
      <c r="D8" s="5" t="s">
        <v>43</v>
      </c>
      <c r="E8" s="4">
        <v>30</v>
      </c>
      <c r="F8" s="5">
        <v>1820</v>
      </c>
      <c r="G8" s="5">
        <f t="shared" si="0"/>
        <v>54600</v>
      </c>
      <c r="M8" s="2">
        <f>SUM(G6:G18)</f>
        <v>847570</v>
      </c>
      <c r="N8" s="2">
        <f>M8/M4</f>
        <v>974.21839080459768</v>
      </c>
    </row>
    <row r="9" spans="2:18" x14ac:dyDescent="0.25">
      <c r="B9" s="81"/>
      <c r="C9" s="80"/>
      <c r="D9" s="5" t="s">
        <v>44</v>
      </c>
      <c r="E9" s="4">
        <v>10</v>
      </c>
      <c r="F9" s="5">
        <v>3240</v>
      </c>
      <c r="G9" s="5">
        <f t="shared" si="0"/>
        <v>32400</v>
      </c>
      <c r="N9" s="2">
        <f>G19/870</f>
        <v>11494.252873563219</v>
      </c>
    </row>
    <row r="10" spans="2:18" x14ac:dyDescent="0.25">
      <c r="B10" s="81"/>
      <c r="C10" s="80"/>
      <c r="D10" s="5" t="s">
        <v>45</v>
      </c>
      <c r="E10" s="4">
        <v>8</v>
      </c>
      <c r="F10" s="5">
        <v>1020</v>
      </c>
      <c r="G10" s="5">
        <f t="shared" si="0"/>
        <v>8160</v>
      </c>
    </row>
    <row r="11" spans="2:18" x14ac:dyDescent="0.25">
      <c r="B11" s="81"/>
      <c r="C11" s="80"/>
      <c r="D11" s="5" t="s">
        <v>46</v>
      </c>
      <c r="E11" s="4">
        <v>10</v>
      </c>
      <c r="F11" s="5">
        <v>780</v>
      </c>
      <c r="G11" s="5">
        <f t="shared" si="0"/>
        <v>7800</v>
      </c>
    </row>
    <row r="12" spans="2:18" x14ac:dyDescent="0.25">
      <c r="B12" s="81"/>
      <c r="C12" s="80"/>
      <c r="D12" s="5" t="s">
        <v>47</v>
      </c>
      <c r="E12" s="4">
        <v>10</v>
      </c>
      <c r="F12" s="5">
        <v>10570</v>
      </c>
      <c r="G12" s="5">
        <f t="shared" si="0"/>
        <v>105700</v>
      </c>
    </row>
    <row r="13" spans="2:18" ht="14.25" customHeight="1" x14ac:dyDescent="0.25">
      <c r="B13" s="81"/>
      <c r="C13" s="80"/>
      <c r="D13" s="5" t="s">
        <v>48</v>
      </c>
      <c r="E13" s="4">
        <v>30</v>
      </c>
      <c r="F13" s="5">
        <v>4790</v>
      </c>
      <c r="G13" s="5">
        <f t="shared" si="0"/>
        <v>143700</v>
      </c>
      <c r="R13">
        <f>(15000000/240055)</f>
        <v>62.485680364916377</v>
      </c>
    </row>
    <row r="14" spans="2:18" ht="14.25" customHeight="1" x14ac:dyDescent="0.25">
      <c r="B14" s="81"/>
      <c r="C14" s="80"/>
      <c r="D14" s="5" t="s">
        <v>49</v>
      </c>
      <c r="E14" s="4">
        <v>6</v>
      </c>
      <c r="F14" s="5">
        <v>5690</v>
      </c>
      <c r="G14" s="5">
        <f t="shared" si="0"/>
        <v>34140</v>
      </c>
    </row>
    <row r="15" spans="2:18" ht="14.25" customHeight="1" x14ac:dyDescent="0.25">
      <c r="B15" s="81"/>
      <c r="C15" s="80"/>
      <c r="D15" s="5" t="s">
        <v>50</v>
      </c>
      <c r="E15" s="4">
        <v>20</v>
      </c>
      <c r="F15" s="5">
        <v>1670</v>
      </c>
      <c r="G15" s="5">
        <f t="shared" si="0"/>
        <v>33400</v>
      </c>
    </row>
    <row r="16" spans="2:18" ht="14.25" customHeight="1" x14ac:dyDescent="0.25">
      <c r="B16" s="81"/>
      <c r="C16" s="80"/>
      <c r="D16" s="5" t="s">
        <v>51</v>
      </c>
      <c r="E16" s="4">
        <v>8</v>
      </c>
      <c r="F16" s="5">
        <v>13190</v>
      </c>
      <c r="G16" s="5">
        <f t="shared" si="0"/>
        <v>105520</v>
      </c>
    </row>
    <row r="17" spans="2:14" ht="14.25" customHeight="1" x14ac:dyDescent="0.25">
      <c r="B17" s="81"/>
      <c r="C17" s="80"/>
      <c r="D17" s="5" t="s">
        <v>52</v>
      </c>
      <c r="E17" s="4">
        <v>5</v>
      </c>
      <c r="F17" s="5">
        <v>23520</v>
      </c>
      <c r="G17" s="5">
        <f t="shared" si="0"/>
        <v>117600</v>
      </c>
    </row>
    <row r="18" spans="2:14" ht="14.25" customHeight="1" x14ac:dyDescent="0.25">
      <c r="B18" s="81"/>
      <c r="C18" s="80"/>
      <c r="D18" s="5" t="s">
        <v>53</v>
      </c>
      <c r="E18" s="4">
        <v>5</v>
      </c>
      <c r="F18" s="5">
        <v>16750</v>
      </c>
      <c r="G18" s="5">
        <f t="shared" si="0"/>
        <v>83750</v>
      </c>
    </row>
    <row r="19" spans="2:14" ht="30" x14ac:dyDescent="0.25">
      <c r="B19" s="13" t="s">
        <v>37</v>
      </c>
      <c r="C19" s="8" t="s">
        <v>38</v>
      </c>
      <c r="D19" s="8" t="s">
        <v>39</v>
      </c>
      <c r="E19" s="4">
        <v>1</v>
      </c>
      <c r="F19" s="5">
        <v>10000000</v>
      </c>
      <c r="G19" s="5">
        <f t="shared" si="0"/>
        <v>10000000</v>
      </c>
    </row>
    <row r="20" spans="2:14" ht="14.25" customHeight="1" x14ac:dyDescent="0.25">
      <c r="B20" s="82" t="s">
        <v>83</v>
      </c>
      <c r="C20" s="84" t="s">
        <v>83</v>
      </c>
      <c r="D20" s="5" t="s">
        <v>84</v>
      </c>
      <c r="E20" s="4">
        <v>2</v>
      </c>
      <c r="F20" s="5">
        <v>25000000</v>
      </c>
      <c r="G20" s="5">
        <f t="shared" si="0"/>
        <v>50000000</v>
      </c>
    </row>
    <row r="21" spans="2:14" x14ac:dyDescent="0.25">
      <c r="B21" s="83"/>
      <c r="C21" s="85"/>
      <c r="D21" s="5" t="s">
        <v>84</v>
      </c>
      <c r="E21" s="4">
        <v>1</v>
      </c>
      <c r="F21" s="5">
        <v>17000000</v>
      </c>
      <c r="G21" s="24">
        <f t="shared" si="0"/>
        <v>17000000</v>
      </c>
    </row>
    <row r="22" spans="2:14" ht="30" x14ac:dyDescent="0.25">
      <c r="B22" s="22" t="s">
        <v>4</v>
      </c>
      <c r="C22" s="8" t="s">
        <v>5</v>
      </c>
      <c r="D22" s="5" t="s">
        <v>149</v>
      </c>
      <c r="E22" s="4">
        <v>1</v>
      </c>
      <c r="F22" s="78">
        <f>150000*870</f>
        <v>130500000</v>
      </c>
      <c r="G22" s="76">
        <f>+F22</f>
        <v>130500000</v>
      </c>
    </row>
    <row r="23" spans="2:14" ht="60" x14ac:dyDescent="0.25">
      <c r="B23" s="32" t="s">
        <v>6</v>
      </c>
      <c r="C23" s="8" t="s">
        <v>148</v>
      </c>
      <c r="D23" s="4"/>
      <c r="E23" s="4">
        <v>1</v>
      </c>
      <c r="F23" s="79"/>
      <c r="G23" s="77"/>
      <c r="N23" t="s">
        <v>19</v>
      </c>
    </row>
    <row r="24" spans="2:14" x14ac:dyDescent="0.25">
      <c r="F24" s="73" t="s">
        <v>160</v>
      </c>
      <c r="G24" s="10">
        <f>+SUM(G5:G23)</f>
        <v>208847570</v>
      </c>
    </row>
    <row r="25" spans="2:14" x14ac:dyDescent="0.25">
      <c r="F25" s="74" t="s">
        <v>161</v>
      </c>
      <c r="G25" s="23">
        <f>G24/'Costos de operación proceso'!C15</f>
        <v>240054.67816091955</v>
      </c>
    </row>
  </sheetData>
  <mergeCells count="6">
    <mergeCell ref="G22:G23"/>
    <mergeCell ref="F22:F23"/>
    <mergeCell ref="C6:C18"/>
    <mergeCell ref="B6:B18"/>
    <mergeCell ref="B20:B21"/>
    <mergeCell ref="C20:C2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O51"/>
  <sheetViews>
    <sheetView workbookViewId="0">
      <selection activeCell="I16" sqref="I16"/>
    </sheetView>
  </sheetViews>
  <sheetFormatPr baseColWidth="10" defaultRowHeight="15" x14ac:dyDescent="0.25"/>
  <cols>
    <col min="2" max="2" width="15.7109375" customWidth="1"/>
    <col min="3" max="3" width="26.85546875" customWidth="1"/>
    <col min="4" max="4" width="24.85546875" customWidth="1"/>
    <col min="5" max="5" width="19.7109375" customWidth="1"/>
    <col min="6" max="6" width="13.7109375" style="2" customWidth="1"/>
    <col min="8" max="8" width="11.5703125" customWidth="1"/>
  </cols>
  <sheetData>
    <row r="2" spans="2:15" x14ac:dyDescent="0.25">
      <c r="B2" s="1"/>
      <c r="I2" s="42">
        <v>0.7</v>
      </c>
    </row>
    <row r="3" spans="2:15" x14ac:dyDescent="0.25">
      <c r="B3" s="1" t="s">
        <v>163</v>
      </c>
    </row>
    <row r="4" spans="2:15" x14ac:dyDescent="0.25">
      <c r="B4" s="3"/>
      <c r="C4" s="4" t="s">
        <v>55</v>
      </c>
      <c r="D4" s="4" t="s">
        <v>40</v>
      </c>
      <c r="E4" s="4" t="s">
        <v>32</v>
      </c>
      <c r="F4" s="5" t="s">
        <v>33</v>
      </c>
      <c r="G4" s="9" t="s">
        <v>34</v>
      </c>
    </row>
    <row r="5" spans="2:15" x14ac:dyDescent="0.25">
      <c r="B5" s="97" t="s">
        <v>1</v>
      </c>
      <c r="C5" s="80" t="s">
        <v>2</v>
      </c>
      <c r="D5" s="4" t="s">
        <v>27</v>
      </c>
      <c r="E5" s="4">
        <v>1</v>
      </c>
      <c r="F5" s="5">
        <v>3000000</v>
      </c>
      <c r="G5" s="5">
        <f t="shared" ref="G5:G16" si="0">+E5*F5</f>
        <v>3000000</v>
      </c>
    </row>
    <row r="6" spans="2:15" x14ac:dyDescent="0.25">
      <c r="B6" s="98"/>
      <c r="C6" s="80"/>
      <c r="D6" s="4" t="s">
        <v>28</v>
      </c>
      <c r="E6" s="4">
        <v>1</v>
      </c>
      <c r="F6" s="5">
        <v>300000</v>
      </c>
      <c r="G6" s="5">
        <f t="shared" si="0"/>
        <v>300000</v>
      </c>
      <c r="L6" t="s">
        <v>151</v>
      </c>
      <c r="M6" t="s">
        <v>8</v>
      </c>
      <c r="N6" t="s">
        <v>152</v>
      </c>
      <c r="O6" t="s">
        <v>7</v>
      </c>
    </row>
    <row r="7" spans="2:15" x14ac:dyDescent="0.25">
      <c r="B7" s="98"/>
      <c r="C7" s="80"/>
      <c r="D7" s="4" t="s">
        <v>29</v>
      </c>
      <c r="E7" s="4">
        <v>1</v>
      </c>
      <c r="F7" s="5">
        <v>1000000</v>
      </c>
      <c r="G7" s="5">
        <f t="shared" si="0"/>
        <v>1000000</v>
      </c>
      <c r="K7" t="s">
        <v>147</v>
      </c>
      <c r="L7" s="55">
        <v>0.30099999999999999</v>
      </c>
      <c r="M7" s="55">
        <v>0.20699999999999999</v>
      </c>
      <c r="N7" s="55">
        <v>0.13600000000000001</v>
      </c>
      <c r="O7" s="55">
        <v>0.35599999999999998</v>
      </c>
    </row>
    <row r="8" spans="2:15" x14ac:dyDescent="0.25">
      <c r="B8" s="98"/>
      <c r="C8" s="80"/>
      <c r="D8" s="4" t="s">
        <v>30</v>
      </c>
      <c r="E8" s="4">
        <v>1</v>
      </c>
      <c r="F8" s="5">
        <v>500000</v>
      </c>
      <c r="G8" s="5">
        <f t="shared" si="0"/>
        <v>500000</v>
      </c>
    </row>
    <row r="9" spans="2:15" x14ac:dyDescent="0.25">
      <c r="B9" s="98"/>
      <c r="C9" s="80"/>
      <c r="D9" s="4" t="s">
        <v>31</v>
      </c>
      <c r="E9" s="4">
        <v>1</v>
      </c>
      <c r="F9" s="5">
        <v>2500000</v>
      </c>
      <c r="G9" s="5">
        <f t="shared" si="0"/>
        <v>2500000</v>
      </c>
    </row>
    <row r="10" spans="2:15" x14ac:dyDescent="0.25">
      <c r="B10" s="98"/>
      <c r="C10" s="4" t="s">
        <v>3</v>
      </c>
      <c r="D10" s="4" t="s">
        <v>35</v>
      </c>
      <c r="E10" s="4">
        <v>1</v>
      </c>
      <c r="F10" s="5">
        <v>300000</v>
      </c>
      <c r="G10" s="5">
        <f t="shared" si="0"/>
        <v>300000</v>
      </c>
    </row>
    <row r="11" spans="2:15" x14ac:dyDescent="0.25">
      <c r="B11" s="98"/>
      <c r="C11" s="4" t="s">
        <v>103</v>
      </c>
      <c r="D11" s="4" t="s">
        <v>104</v>
      </c>
      <c r="E11" s="4">
        <v>1</v>
      </c>
      <c r="F11" s="5">
        <v>1500000</v>
      </c>
      <c r="G11" s="5">
        <f t="shared" si="0"/>
        <v>1500000</v>
      </c>
    </row>
    <row r="12" spans="2:15" x14ac:dyDescent="0.25">
      <c r="B12" s="99"/>
      <c r="C12" s="4" t="s">
        <v>54</v>
      </c>
      <c r="D12" s="4" t="s">
        <v>36</v>
      </c>
      <c r="E12" s="4">
        <v>1</v>
      </c>
      <c r="F12" s="5">
        <v>200000</v>
      </c>
      <c r="G12" s="5">
        <f t="shared" si="0"/>
        <v>200000</v>
      </c>
    </row>
    <row r="13" spans="2:15" x14ac:dyDescent="0.25">
      <c r="B13" s="87" t="s">
        <v>8</v>
      </c>
      <c r="C13" s="4" t="s">
        <v>9</v>
      </c>
      <c r="D13" s="5" t="s">
        <v>98</v>
      </c>
      <c r="E13" s="4">
        <v>1</v>
      </c>
      <c r="F13" s="5">
        <v>300000</v>
      </c>
      <c r="G13" s="5">
        <f t="shared" si="0"/>
        <v>300000</v>
      </c>
    </row>
    <row r="14" spans="2:15" x14ac:dyDescent="0.25">
      <c r="B14" s="88"/>
      <c r="C14" s="4" t="s">
        <v>10</v>
      </c>
      <c r="D14" s="4"/>
      <c r="E14" s="4">
        <v>1</v>
      </c>
      <c r="F14" s="6">
        <v>2619463</v>
      </c>
      <c r="G14" s="5">
        <f t="shared" si="0"/>
        <v>2619463</v>
      </c>
    </row>
    <row r="15" spans="2:15" x14ac:dyDescent="0.25">
      <c r="B15" s="88"/>
      <c r="C15" s="4" t="s">
        <v>12</v>
      </c>
      <c r="D15" s="5"/>
      <c r="E15" s="4">
        <v>1</v>
      </c>
      <c r="F15" s="5">
        <v>1000000</v>
      </c>
      <c r="G15" s="5">
        <f t="shared" si="0"/>
        <v>1000000</v>
      </c>
    </row>
    <row r="16" spans="2:15" ht="30" customHeight="1" x14ac:dyDescent="0.25">
      <c r="B16" s="89"/>
      <c r="C16" s="4" t="s">
        <v>56</v>
      </c>
      <c r="D16" s="5" t="s">
        <v>57</v>
      </c>
      <c r="E16" s="4">
        <v>1</v>
      </c>
      <c r="F16" s="5">
        <v>2500000</v>
      </c>
      <c r="G16" s="5">
        <f t="shared" si="0"/>
        <v>2500000</v>
      </c>
    </row>
    <row r="17" spans="2:7" ht="30" x14ac:dyDescent="0.25">
      <c r="B17" s="90" t="s">
        <v>6</v>
      </c>
      <c r="C17" s="8" t="s">
        <v>58</v>
      </c>
      <c r="D17" s="8" t="s">
        <v>76</v>
      </c>
      <c r="E17" s="4">
        <v>4</v>
      </c>
      <c r="F17" s="5">
        <v>350000</v>
      </c>
      <c r="G17" s="5">
        <f t="shared" ref="G17:G35" si="1">+E17*F17</f>
        <v>1400000</v>
      </c>
    </row>
    <row r="18" spans="2:7" x14ac:dyDescent="0.25">
      <c r="B18" s="91"/>
      <c r="C18" s="94" t="s">
        <v>59</v>
      </c>
      <c r="D18" s="4" t="s">
        <v>70</v>
      </c>
      <c r="E18" s="4">
        <v>1</v>
      </c>
      <c r="F18" s="5">
        <v>60000</v>
      </c>
      <c r="G18" s="5">
        <f t="shared" si="1"/>
        <v>60000</v>
      </c>
    </row>
    <row r="19" spans="2:7" x14ac:dyDescent="0.25">
      <c r="B19" s="91"/>
      <c r="C19" s="95"/>
      <c r="D19" s="4" t="s">
        <v>71</v>
      </c>
      <c r="E19" s="4">
        <v>1</v>
      </c>
      <c r="F19" s="5">
        <v>80000</v>
      </c>
      <c r="G19" s="5">
        <f t="shared" si="1"/>
        <v>80000</v>
      </c>
    </row>
    <row r="20" spans="2:7" x14ac:dyDescent="0.25">
      <c r="B20" s="91"/>
      <c r="C20" s="95"/>
      <c r="D20" s="4" t="s">
        <v>72</v>
      </c>
      <c r="E20" s="4">
        <v>1</v>
      </c>
      <c r="F20" s="5">
        <v>60000</v>
      </c>
      <c r="G20" s="5">
        <f t="shared" si="1"/>
        <v>60000</v>
      </c>
    </row>
    <row r="21" spans="2:7" x14ac:dyDescent="0.25">
      <c r="B21" s="91"/>
      <c r="C21" s="95"/>
      <c r="D21" s="4" t="s">
        <v>73</v>
      </c>
      <c r="E21" s="4">
        <v>1</v>
      </c>
      <c r="F21" s="5">
        <v>40000</v>
      </c>
      <c r="G21" s="5">
        <f t="shared" si="1"/>
        <v>40000</v>
      </c>
    </row>
    <row r="22" spans="2:7" x14ac:dyDescent="0.25">
      <c r="B22" s="91"/>
      <c r="C22" s="95"/>
      <c r="D22" s="4" t="s">
        <v>74</v>
      </c>
      <c r="E22" s="4">
        <v>1</v>
      </c>
      <c r="F22" s="5">
        <v>60000</v>
      </c>
      <c r="G22" s="5">
        <f t="shared" si="1"/>
        <v>60000</v>
      </c>
    </row>
    <row r="23" spans="2:7" x14ac:dyDescent="0.25">
      <c r="B23" s="91"/>
      <c r="C23" s="96"/>
      <c r="D23" s="4" t="s">
        <v>75</v>
      </c>
      <c r="E23" s="4">
        <v>1</v>
      </c>
      <c r="F23" s="5">
        <v>50000</v>
      </c>
      <c r="G23" s="5">
        <f t="shared" si="1"/>
        <v>50000</v>
      </c>
    </row>
    <row r="24" spans="2:7" x14ac:dyDescent="0.25">
      <c r="B24" s="91"/>
      <c r="C24" s="4" t="s">
        <v>60</v>
      </c>
      <c r="D24" s="4" t="s">
        <v>109</v>
      </c>
      <c r="E24" s="4">
        <v>1</v>
      </c>
      <c r="F24" s="5">
        <v>500000</v>
      </c>
      <c r="G24" s="5">
        <f t="shared" si="1"/>
        <v>500000</v>
      </c>
    </row>
    <row r="25" spans="2:7" x14ac:dyDescent="0.25">
      <c r="B25" s="91"/>
      <c r="C25" s="4" t="s">
        <v>101</v>
      </c>
      <c r="D25" s="4" t="s">
        <v>102</v>
      </c>
      <c r="E25" s="4">
        <v>1</v>
      </c>
      <c r="F25" s="5">
        <v>1800000</v>
      </c>
      <c r="G25" s="5">
        <f t="shared" si="1"/>
        <v>1800000</v>
      </c>
    </row>
    <row r="26" spans="2:7" x14ac:dyDescent="0.25">
      <c r="B26" s="92"/>
      <c r="C26" s="4" t="s">
        <v>86</v>
      </c>
      <c r="D26" s="4" t="s">
        <v>85</v>
      </c>
      <c r="E26" s="4">
        <v>3</v>
      </c>
      <c r="F26" s="5">
        <v>57000</v>
      </c>
      <c r="G26" s="5">
        <f t="shared" si="1"/>
        <v>171000</v>
      </c>
    </row>
    <row r="27" spans="2:7" x14ac:dyDescent="0.25">
      <c r="B27" s="93" t="s">
        <v>7</v>
      </c>
      <c r="C27" s="80" t="s">
        <v>61</v>
      </c>
      <c r="D27" s="5" t="s">
        <v>62</v>
      </c>
      <c r="E27" s="4">
        <v>1</v>
      </c>
      <c r="F27" s="5">
        <v>2500000</v>
      </c>
      <c r="G27" s="5">
        <f t="shared" si="1"/>
        <v>2500000</v>
      </c>
    </row>
    <row r="28" spans="2:7" x14ac:dyDescent="0.25">
      <c r="B28" s="93"/>
      <c r="C28" s="80"/>
      <c r="D28" s="5" t="s">
        <v>63</v>
      </c>
      <c r="E28" s="4">
        <v>1</v>
      </c>
      <c r="F28" s="5">
        <v>1000000</v>
      </c>
      <c r="G28" s="5">
        <f t="shared" si="1"/>
        <v>1000000</v>
      </c>
    </row>
    <row r="29" spans="2:7" x14ac:dyDescent="0.25">
      <c r="B29" s="93"/>
      <c r="C29" s="80"/>
      <c r="D29" s="5" t="s">
        <v>64</v>
      </c>
      <c r="E29" s="4">
        <v>1</v>
      </c>
      <c r="F29" s="5">
        <v>1000000</v>
      </c>
      <c r="G29" s="5">
        <f t="shared" si="1"/>
        <v>1000000</v>
      </c>
    </row>
    <row r="30" spans="2:7" x14ac:dyDescent="0.25">
      <c r="B30" s="93"/>
      <c r="C30" s="80"/>
      <c r="D30" s="5" t="s">
        <v>65</v>
      </c>
      <c r="E30" s="4">
        <v>2</v>
      </c>
      <c r="F30" s="5">
        <v>600000</v>
      </c>
      <c r="G30" s="5">
        <f t="shared" si="1"/>
        <v>1200000</v>
      </c>
    </row>
    <row r="31" spans="2:7" x14ac:dyDescent="0.25">
      <c r="B31" s="93"/>
      <c r="C31" s="80"/>
      <c r="D31" s="5" t="s">
        <v>79</v>
      </c>
      <c r="E31" s="4">
        <v>2</v>
      </c>
      <c r="F31" s="5">
        <v>900000</v>
      </c>
      <c r="G31" s="5">
        <f t="shared" si="1"/>
        <v>1800000</v>
      </c>
    </row>
    <row r="32" spans="2:7" x14ac:dyDescent="0.25">
      <c r="B32" s="93"/>
      <c r="C32" s="80"/>
      <c r="D32" s="5" t="s">
        <v>66</v>
      </c>
      <c r="E32" s="4">
        <v>2</v>
      </c>
      <c r="F32" s="5">
        <v>700000</v>
      </c>
      <c r="G32" s="5">
        <f t="shared" si="1"/>
        <v>1400000</v>
      </c>
    </row>
    <row r="33" spans="2:10" x14ac:dyDescent="0.25">
      <c r="B33" s="93"/>
      <c r="C33" s="80"/>
      <c r="D33" s="5" t="s">
        <v>67</v>
      </c>
      <c r="E33" s="4">
        <v>1</v>
      </c>
      <c r="F33" s="5">
        <v>900000</v>
      </c>
      <c r="G33" s="5">
        <f t="shared" si="1"/>
        <v>900000</v>
      </c>
    </row>
    <row r="34" spans="2:10" x14ac:dyDescent="0.25">
      <c r="B34" s="93"/>
      <c r="C34" s="80"/>
      <c r="D34" s="5" t="s">
        <v>68</v>
      </c>
      <c r="E34" s="4">
        <v>1</v>
      </c>
      <c r="F34" s="5">
        <v>600000</v>
      </c>
      <c r="G34" s="5">
        <f t="shared" si="1"/>
        <v>600000</v>
      </c>
    </row>
    <row r="35" spans="2:10" x14ac:dyDescent="0.25">
      <c r="B35" s="93"/>
      <c r="C35" s="80"/>
      <c r="D35" s="5" t="s">
        <v>69</v>
      </c>
      <c r="E35" s="4">
        <v>1</v>
      </c>
      <c r="F35" s="5">
        <v>600000</v>
      </c>
      <c r="G35" s="5">
        <f t="shared" si="1"/>
        <v>600000</v>
      </c>
      <c r="H35" s="4">
        <v>2023</v>
      </c>
      <c r="I35" s="4">
        <v>2024</v>
      </c>
    </row>
    <row r="36" spans="2:10" x14ac:dyDescent="0.25">
      <c r="F36" s="2" t="s">
        <v>160</v>
      </c>
      <c r="G36" s="10">
        <f>SUM(G5:G35)</f>
        <v>30940463</v>
      </c>
      <c r="H36" s="23">
        <f>G36/'Costos de operación proceso'!C15</f>
        <v>35563.750574712642</v>
      </c>
      <c r="I36" s="23">
        <f>G36/Ingresos!H10</f>
        <v>36400.544705882356</v>
      </c>
      <c r="J36" s="34"/>
    </row>
    <row r="38" spans="2:10" x14ac:dyDescent="0.25">
      <c r="B38" s="1" t="s">
        <v>164</v>
      </c>
    </row>
    <row r="39" spans="2:10" x14ac:dyDescent="0.25">
      <c r="B39" s="3"/>
      <c r="C39" s="4" t="s">
        <v>55</v>
      </c>
      <c r="D39" s="4" t="s">
        <v>40</v>
      </c>
      <c r="E39" s="4" t="s">
        <v>32</v>
      </c>
      <c r="F39" s="5" t="s">
        <v>33</v>
      </c>
      <c r="G39" s="9" t="s">
        <v>34</v>
      </c>
      <c r="H39" s="4">
        <v>2023</v>
      </c>
      <c r="I39" s="4">
        <v>2024</v>
      </c>
      <c r="J39" s="34"/>
    </row>
    <row r="40" spans="2:10" x14ac:dyDescent="0.25">
      <c r="B40" s="33" t="s">
        <v>105</v>
      </c>
      <c r="C40" s="4" t="s">
        <v>106</v>
      </c>
      <c r="D40" s="4" t="s">
        <v>166</v>
      </c>
      <c r="E40" s="4">
        <v>1</v>
      </c>
      <c r="F40" s="5">
        <v>8000000</v>
      </c>
      <c r="G40" s="5">
        <f>E40*F40</f>
        <v>8000000</v>
      </c>
      <c r="H40" s="23">
        <f>+G40/'Costos de operación proceso'!C15</f>
        <v>9195.4022988505749</v>
      </c>
      <c r="I40" s="23">
        <f>+G40/Ingresos!H10</f>
        <v>9411.7647058823532</v>
      </c>
      <c r="J40" s="34"/>
    </row>
    <row r="41" spans="2:10" x14ac:dyDescent="0.25">
      <c r="B41" s="31" t="s">
        <v>1</v>
      </c>
      <c r="C41" s="4" t="s">
        <v>103</v>
      </c>
      <c r="D41" s="4" t="s">
        <v>165</v>
      </c>
      <c r="E41" s="4">
        <v>1</v>
      </c>
      <c r="F41" s="5">
        <v>800000</v>
      </c>
      <c r="G41" s="5">
        <f>E41*F41</f>
        <v>800000</v>
      </c>
      <c r="H41" s="23">
        <f>G41/'Costos de operación proceso'!C15</f>
        <v>919.54022988505744</v>
      </c>
      <c r="I41" s="23">
        <f>G41/Ingresos!H10</f>
        <v>941.17647058823525</v>
      </c>
      <c r="J41" s="34"/>
    </row>
    <row r="42" spans="2:10" x14ac:dyDescent="0.25">
      <c r="B42" s="25" t="s">
        <v>97</v>
      </c>
      <c r="C42" s="4" t="s">
        <v>11</v>
      </c>
      <c r="D42" s="5" t="s">
        <v>167</v>
      </c>
      <c r="E42" s="4">
        <v>1</v>
      </c>
      <c r="F42" s="5">
        <v>2540000</v>
      </c>
      <c r="G42" s="24">
        <f>+E42*F42</f>
        <v>2540000</v>
      </c>
      <c r="H42" s="23">
        <f>G42/'Costos de operación proceso'!C15</f>
        <v>2919.5402298850577</v>
      </c>
      <c r="I42" s="23">
        <f>G42/Ingresos!H10</f>
        <v>2988.2352941176468</v>
      </c>
    </row>
    <row r="43" spans="2:10" x14ac:dyDescent="0.25">
      <c r="B43" s="26"/>
      <c r="G43" s="35"/>
    </row>
    <row r="46" spans="2:10" x14ac:dyDescent="0.25">
      <c r="H46" s="50" t="s">
        <v>143</v>
      </c>
      <c r="I46" s="51" t="s">
        <v>22</v>
      </c>
      <c r="J46" s="51" t="s">
        <v>147</v>
      </c>
    </row>
    <row r="47" spans="2:10" x14ac:dyDescent="0.25">
      <c r="H47" s="4" t="s">
        <v>144</v>
      </c>
      <c r="I47" s="5">
        <f>+H36</f>
        <v>35563.750574712642</v>
      </c>
      <c r="J47" s="4">
        <v>70.400000000000006</v>
      </c>
    </row>
    <row r="48" spans="2:10" x14ac:dyDescent="0.25">
      <c r="B48" s="66"/>
      <c r="C48" s="66"/>
      <c r="H48" s="4" t="s">
        <v>145</v>
      </c>
      <c r="I48" s="5">
        <f>+'Costos de operación proceso'!D11</f>
        <v>27644.165588615786</v>
      </c>
      <c r="J48" s="4">
        <v>29.6</v>
      </c>
    </row>
    <row r="49" spans="2:10" x14ac:dyDescent="0.25">
      <c r="B49" s="86"/>
      <c r="E49" s="2"/>
      <c r="F49" s="34"/>
      <c r="H49" s="4" t="s">
        <v>146</v>
      </c>
      <c r="I49" s="5">
        <f>+I47+I48</f>
        <v>63207.916163328424</v>
      </c>
      <c r="J49" s="4">
        <v>100</v>
      </c>
    </row>
    <row r="50" spans="2:10" x14ac:dyDescent="0.25">
      <c r="B50" s="86"/>
      <c r="E50" s="2"/>
      <c r="F50" s="34"/>
    </row>
    <row r="51" spans="2:10" x14ac:dyDescent="0.25">
      <c r="B51" s="67"/>
      <c r="E51" s="2"/>
      <c r="F51" s="34"/>
    </row>
  </sheetData>
  <mergeCells count="8">
    <mergeCell ref="B49:B50"/>
    <mergeCell ref="B13:B16"/>
    <mergeCell ref="B17:B26"/>
    <mergeCell ref="C5:C9"/>
    <mergeCell ref="B27:B35"/>
    <mergeCell ref="C27:C35"/>
    <mergeCell ref="C18:C23"/>
    <mergeCell ref="B5:B12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5"/>
  <sheetViews>
    <sheetView workbookViewId="0">
      <selection activeCell="G28" sqref="G28"/>
    </sheetView>
  </sheetViews>
  <sheetFormatPr baseColWidth="10" defaultRowHeight="15" x14ac:dyDescent="0.25"/>
  <cols>
    <col min="2" max="2" width="30.5703125" customWidth="1"/>
    <col min="5" max="5" width="13" customWidth="1"/>
    <col min="6" max="6" width="31.140625" customWidth="1"/>
    <col min="8" max="8" width="13" customWidth="1"/>
  </cols>
  <sheetData>
    <row r="2" spans="2:5" x14ac:dyDescent="0.25">
      <c r="B2" s="1" t="s">
        <v>168</v>
      </c>
    </row>
    <row r="4" spans="2:5" x14ac:dyDescent="0.25">
      <c r="B4" s="12" t="s">
        <v>20</v>
      </c>
      <c r="C4" s="12" t="s">
        <v>21</v>
      </c>
      <c r="D4" s="27" t="s">
        <v>22</v>
      </c>
      <c r="E4" s="29"/>
    </row>
    <row r="5" spans="2:5" x14ac:dyDescent="0.25">
      <c r="B5" s="4" t="s">
        <v>78</v>
      </c>
      <c r="C5" s="4" t="s">
        <v>23</v>
      </c>
      <c r="D5" s="28">
        <v>1.8111254851228977</v>
      </c>
      <c r="E5" s="30"/>
    </row>
    <row r="6" spans="2:5" x14ac:dyDescent="0.25">
      <c r="B6" s="4" t="s">
        <v>24</v>
      </c>
      <c r="C6" s="4" t="s">
        <v>23</v>
      </c>
      <c r="D6" s="28">
        <v>10.34928848641656</v>
      </c>
      <c r="E6" s="30"/>
    </row>
    <row r="7" spans="2:5" x14ac:dyDescent="0.25">
      <c r="B7" s="43" t="s">
        <v>25</v>
      </c>
      <c r="C7" s="43" t="s">
        <v>133</v>
      </c>
      <c r="D7" s="44">
        <v>11.254851228978007</v>
      </c>
      <c r="E7" s="30"/>
    </row>
    <row r="8" spans="2:5" x14ac:dyDescent="0.25">
      <c r="B8" s="4" t="s">
        <v>26</v>
      </c>
      <c r="C8" s="4" t="s">
        <v>23</v>
      </c>
      <c r="D8" s="28">
        <v>0.4</v>
      </c>
      <c r="E8" s="30"/>
    </row>
    <row r="11" spans="2:5" x14ac:dyDescent="0.25">
      <c r="B11" s="4" t="s">
        <v>81</v>
      </c>
      <c r="C11" s="4">
        <v>2200</v>
      </c>
      <c r="D11" s="23">
        <f>((D5+D6+D8)*C11)+D7</f>
        <v>27644.165588615786</v>
      </c>
    </row>
    <row r="12" spans="2:5" x14ac:dyDescent="0.25">
      <c r="B12" s="4" t="s">
        <v>80</v>
      </c>
      <c r="C12" s="4">
        <v>4250</v>
      </c>
      <c r="D12" s="23">
        <f>((D5+D6+D8)*C12)+D7</f>
        <v>53393.01423027167</v>
      </c>
    </row>
    <row r="13" spans="2:5" x14ac:dyDescent="0.25">
      <c r="B13" s="4" t="s">
        <v>82</v>
      </c>
      <c r="C13" s="4">
        <v>3500</v>
      </c>
      <c r="D13" s="23">
        <f>((D5+D6+D8)*C13)+D7</f>
        <v>43972.703751617082</v>
      </c>
    </row>
    <row r="14" spans="2:5" x14ac:dyDescent="0.25">
      <c r="B14" s="4" t="s">
        <v>153</v>
      </c>
      <c r="C14" s="4">
        <v>2000</v>
      </c>
      <c r="D14" s="23">
        <f>((D5+D6+D8)*C14)+D7</f>
        <v>25132.082794307895</v>
      </c>
    </row>
    <row r="15" spans="2:5" x14ac:dyDescent="0.25">
      <c r="B15" s="20" t="s">
        <v>77</v>
      </c>
      <c r="C15" s="21">
        <v>870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34"/>
  <sheetViews>
    <sheetView workbookViewId="0">
      <selection activeCell="E34" sqref="E34"/>
    </sheetView>
  </sheetViews>
  <sheetFormatPr baseColWidth="10" defaultRowHeight="15" x14ac:dyDescent="0.25"/>
  <cols>
    <col min="2" max="2" width="29.85546875" customWidth="1"/>
    <col min="7" max="7" width="34.140625" customWidth="1"/>
    <col min="8" max="8" width="16.5703125" customWidth="1"/>
    <col min="9" max="9" width="13.5703125" customWidth="1"/>
    <col min="10" max="10" width="12.42578125" customWidth="1"/>
    <col min="11" max="11" width="41" customWidth="1"/>
    <col min="14" max="14" width="11.42578125" customWidth="1"/>
    <col min="17" max="17" width="11.42578125" customWidth="1"/>
    <col min="22" max="22" width="11.85546875" bestFit="1" customWidth="1"/>
  </cols>
  <sheetData>
    <row r="2" spans="2:19" x14ac:dyDescent="0.25">
      <c r="B2" s="1" t="s">
        <v>116</v>
      </c>
    </row>
    <row r="3" spans="2:19" x14ac:dyDescent="0.25">
      <c r="B3" t="s">
        <v>15</v>
      </c>
      <c r="J3" s="39"/>
    </row>
    <row r="4" spans="2:19" ht="45" x14ac:dyDescent="0.25">
      <c r="G4" s="41" t="s">
        <v>94</v>
      </c>
      <c r="H4" s="38" t="s">
        <v>114</v>
      </c>
      <c r="I4" s="38" t="s">
        <v>113</v>
      </c>
      <c r="J4" s="39"/>
    </row>
    <row r="5" spans="2:19" x14ac:dyDescent="0.25">
      <c r="B5" s="19" t="s">
        <v>95</v>
      </c>
      <c r="G5" s="4" t="s">
        <v>87</v>
      </c>
      <c r="H5" s="17">
        <v>399</v>
      </c>
      <c r="I5" s="37">
        <f>0.45*(H5/100)</f>
        <v>1.7955000000000001</v>
      </c>
      <c r="J5" s="39"/>
    </row>
    <row r="6" spans="2:19" x14ac:dyDescent="0.25">
      <c r="B6" s="4" t="s">
        <v>81</v>
      </c>
      <c r="C6" s="4">
        <v>2200</v>
      </c>
      <c r="G6" s="57" t="s">
        <v>88</v>
      </c>
      <c r="H6" s="58">
        <v>442</v>
      </c>
      <c r="I6" s="11">
        <f>0.45*(H6/100)</f>
        <v>1.9890000000000001</v>
      </c>
      <c r="K6" s="14"/>
    </row>
    <row r="7" spans="2:19" x14ac:dyDescent="0.25">
      <c r="B7" s="4" t="s">
        <v>80</v>
      </c>
      <c r="C7" s="4">
        <v>4250</v>
      </c>
      <c r="G7" s="59"/>
      <c r="H7" s="60"/>
      <c r="I7" s="61"/>
      <c r="K7" s="14"/>
      <c r="M7">
        <f>(631.75*100)/6142.11</f>
        <v>10.285553335905739</v>
      </c>
    </row>
    <row r="8" spans="2:19" x14ac:dyDescent="0.25">
      <c r="B8" s="4" t="s">
        <v>82</v>
      </c>
      <c r="C8" s="4">
        <v>3500</v>
      </c>
      <c r="K8" s="14"/>
      <c r="N8" s="15"/>
      <c r="O8" s="15"/>
    </row>
    <row r="9" spans="2:19" x14ac:dyDescent="0.25">
      <c r="B9" s="4" t="s">
        <v>153</v>
      </c>
      <c r="C9" s="4">
        <v>2000</v>
      </c>
      <c r="G9" s="4" t="s">
        <v>89</v>
      </c>
      <c r="H9" s="10">
        <v>870</v>
      </c>
      <c r="I9" s="100" t="s">
        <v>96</v>
      </c>
      <c r="K9" s="14"/>
    </row>
    <row r="10" spans="2:19" x14ac:dyDescent="0.25">
      <c r="G10" s="57" t="s">
        <v>90</v>
      </c>
      <c r="H10" s="62">
        <v>850</v>
      </c>
      <c r="I10" s="100"/>
      <c r="K10" s="14"/>
    </row>
    <row r="11" spans="2:19" x14ac:dyDescent="0.25">
      <c r="B11" s="19" t="s">
        <v>158</v>
      </c>
      <c r="G11" s="59"/>
      <c r="H11" s="63"/>
      <c r="I11" s="64"/>
      <c r="K11" s="14"/>
    </row>
    <row r="12" spans="2:19" x14ac:dyDescent="0.25">
      <c r="B12" s="4" t="s">
        <v>92</v>
      </c>
      <c r="C12" s="4">
        <v>2.2999999999999998</v>
      </c>
      <c r="K12" s="14"/>
    </row>
    <row r="13" spans="2:19" x14ac:dyDescent="0.25">
      <c r="B13" s="4" t="s">
        <v>91</v>
      </c>
      <c r="C13" s="4">
        <v>1.1000000000000001</v>
      </c>
      <c r="K13" s="14"/>
    </row>
    <row r="14" spans="2:19" x14ac:dyDescent="0.25">
      <c r="B14" s="4" t="s">
        <v>93</v>
      </c>
      <c r="C14" s="4">
        <v>1.5</v>
      </c>
      <c r="K14" s="14"/>
    </row>
    <row r="15" spans="2:19" x14ac:dyDescent="0.25">
      <c r="B15" s="4" t="s">
        <v>154</v>
      </c>
      <c r="C15" s="4">
        <v>0.8</v>
      </c>
      <c r="K15" t="s">
        <v>111</v>
      </c>
    </row>
    <row r="16" spans="2:19" x14ac:dyDescent="0.25">
      <c r="K16" t="s">
        <v>112</v>
      </c>
      <c r="N16" s="16"/>
      <c r="O16" s="16"/>
      <c r="P16" s="16"/>
      <c r="Q16" s="16"/>
      <c r="R16" s="16"/>
      <c r="S16" s="16"/>
    </row>
    <row r="17" spans="2:22" x14ac:dyDescent="0.25">
      <c r="B17" t="s">
        <v>118</v>
      </c>
      <c r="C17" s="40">
        <v>1.0999999999999999E-2</v>
      </c>
      <c r="D17" s="40">
        <v>1.4999999999999999E-2</v>
      </c>
      <c r="E17" s="40">
        <v>2.3E-2</v>
      </c>
      <c r="F17" s="65">
        <v>8.0000000000000002E-3</v>
      </c>
    </row>
    <row r="18" spans="2:22" x14ac:dyDescent="0.25">
      <c r="B18" s="41" t="s">
        <v>81</v>
      </c>
      <c r="C18" s="5">
        <f>C6*($C$13/100)*2205*$I$5</f>
        <v>95809.675500000012</v>
      </c>
      <c r="D18" s="5">
        <f>C6*($C$14/100)*2205*$I$5</f>
        <v>130649.55750000001</v>
      </c>
      <c r="E18" s="52">
        <f>C6*(C12/100)*2205*I5</f>
        <v>200329.32150000002</v>
      </c>
      <c r="F18" s="5">
        <f>C6*($C$15/100)*2205*$I$5</f>
        <v>69679.76400000001</v>
      </c>
      <c r="K18" t="s">
        <v>110</v>
      </c>
    </row>
    <row r="19" spans="2:22" x14ac:dyDescent="0.25">
      <c r="B19" s="41" t="s">
        <v>119</v>
      </c>
      <c r="C19" s="52">
        <f>C7*($C$13/100)*2205*$I$5</f>
        <v>185086.87312500004</v>
      </c>
      <c r="D19" s="5">
        <f>C7*($C$14/100)*2205*$I$5</f>
        <v>252391.19062500002</v>
      </c>
      <c r="E19" s="5">
        <f>C7*(C12/100)*2205*I5</f>
        <v>386999.825625</v>
      </c>
      <c r="F19" s="5">
        <f t="shared" ref="F19:F21" si="0">C7*($C$15/100)*2205*$I$5</f>
        <v>134608.63500000001</v>
      </c>
      <c r="K19" t="s">
        <v>115</v>
      </c>
    </row>
    <row r="20" spans="2:22" x14ac:dyDescent="0.25">
      <c r="B20" s="41" t="s">
        <v>120</v>
      </c>
      <c r="C20" s="5">
        <f>C8*($C$13/100)*2205*$I$5</f>
        <v>152424.48375000004</v>
      </c>
      <c r="D20" s="52">
        <f>C8*($C$14/100)*2205*$I$5</f>
        <v>207851.56875000001</v>
      </c>
      <c r="E20" s="5">
        <f>C8*(C12/100)*2205*I5</f>
        <v>318705.73875000002</v>
      </c>
      <c r="F20" s="5">
        <f t="shared" si="0"/>
        <v>110854.17000000001</v>
      </c>
    </row>
    <row r="21" spans="2:22" x14ac:dyDescent="0.25">
      <c r="B21" s="41" t="s">
        <v>153</v>
      </c>
      <c r="C21" s="5">
        <f>C9*($C$13/100)*2205*$I$5</f>
        <v>87099.705000000016</v>
      </c>
      <c r="D21" s="5">
        <f>C9*($C$14/100)*2205*$I$5</f>
        <v>118772.32500000001</v>
      </c>
      <c r="E21" s="5">
        <f>C9*(C13/100)*2205*I6</f>
        <v>96486.390000000014</v>
      </c>
      <c r="F21" s="52">
        <f t="shared" si="0"/>
        <v>63345.240000000005</v>
      </c>
      <c r="K21" t="s">
        <v>117</v>
      </c>
      <c r="N21" s="16"/>
      <c r="O21" s="16"/>
      <c r="P21" s="16"/>
      <c r="Q21" s="16"/>
      <c r="R21" s="16"/>
      <c r="S21" s="16"/>
      <c r="T21" s="16"/>
      <c r="U21" s="16"/>
      <c r="V21" s="16"/>
    </row>
    <row r="23" spans="2:22" x14ac:dyDescent="0.25">
      <c r="B23" s="19" t="s">
        <v>121</v>
      </c>
      <c r="C23" s="40">
        <v>1.0999999999999999E-2</v>
      </c>
      <c r="D23" s="40">
        <v>1.4999999999999999E-2</v>
      </c>
      <c r="E23" s="40">
        <v>2.3E-2</v>
      </c>
      <c r="F23" s="65">
        <v>8.0000000000000002E-3</v>
      </c>
    </row>
    <row r="24" spans="2:22" x14ac:dyDescent="0.25">
      <c r="B24" s="41" t="s">
        <v>81</v>
      </c>
      <c r="C24" s="5">
        <f>C6*($C$13/100)*2205*$I$6</f>
        <v>106135.02900000002</v>
      </c>
      <c r="D24" s="5">
        <f>C6*($C$14/100)*2205*$I$6</f>
        <v>144729.58500000002</v>
      </c>
      <c r="E24" s="52">
        <f>C6*($C$12/100)*2205*$I$6</f>
        <v>221918.69700000001</v>
      </c>
      <c r="F24" s="5">
        <f>C6*($C$15/100)*2205*$I$6</f>
        <v>77189.112000000008</v>
      </c>
    </row>
    <row r="25" spans="2:22" x14ac:dyDescent="0.25">
      <c r="B25" s="41" t="s">
        <v>119</v>
      </c>
      <c r="C25" s="52">
        <f>C7*($C$13/100)*2205*$I$6</f>
        <v>205033.57875000004</v>
      </c>
      <c r="D25" s="5">
        <f>C7*($C$14/100)*2205*$I$6</f>
        <v>279591.24375000002</v>
      </c>
      <c r="E25" s="5">
        <f>C7*($C$12/100)*2205*$I$6</f>
        <v>428706.57375000004</v>
      </c>
      <c r="F25" s="5">
        <f t="shared" ref="F25:F27" si="1">C7*($C$15/100)*2205*$I$6</f>
        <v>149115.33000000002</v>
      </c>
    </row>
    <row r="26" spans="2:22" x14ac:dyDescent="0.25">
      <c r="B26" s="41" t="s">
        <v>120</v>
      </c>
      <c r="C26" s="5">
        <f>C8*($C$13/100)*2205*$I$6</f>
        <v>168851.18250000002</v>
      </c>
      <c r="D26" s="52">
        <f>C8*($C$14/100)*2205*$I$6</f>
        <v>230251.61250000002</v>
      </c>
      <c r="E26" s="5">
        <f>C8*($C$12/100)*2205*$I$6</f>
        <v>353052.47250000003</v>
      </c>
      <c r="F26" s="5">
        <f t="shared" si="1"/>
        <v>122800.86</v>
      </c>
    </row>
    <row r="27" spans="2:22" x14ac:dyDescent="0.25">
      <c r="B27" s="41" t="s">
        <v>153</v>
      </c>
      <c r="C27" s="5">
        <f>C9*($C$13/100)*2205*$I$6</f>
        <v>96486.390000000014</v>
      </c>
      <c r="D27" s="5">
        <f>C9*($C$14/100)*2205*$I$6</f>
        <v>131572.35</v>
      </c>
      <c r="E27" s="5">
        <f>C9*($C$12/100)*2205*$I$6</f>
        <v>201744.27000000002</v>
      </c>
      <c r="F27" s="52">
        <f t="shared" si="1"/>
        <v>70171.92</v>
      </c>
    </row>
    <row r="28" spans="2:22" x14ac:dyDescent="0.25">
      <c r="C28" s="56"/>
      <c r="D28" s="56"/>
      <c r="E28" s="56"/>
    </row>
    <row r="29" spans="2:22" x14ac:dyDescent="0.25">
      <c r="B29" s="19"/>
      <c r="C29" s="4">
        <v>2023</v>
      </c>
      <c r="D29" s="4">
        <v>2024</v>
      </c>
      <c r="E29" s="2"/>
    </row>
    <row r="30" spans="2:22" x14ac:dyDescent="0.25">
      <c r="B30" s="70" t="s">
        <v>119</v>
      </c>
      <c r="C30" s="5">
        <f>+C19</f>
        <v>185086.87312500004</v>
      </c>
      <c r="D30" s="5">
        <f>+C25</f>
        <v>205033.57875000004</v>
      </c>
      <c r="E30" s="2"/>
    </row>
    <row r="31" spans="2:22" x14ac:dyDescent="0.25">
      <c r="B31" s="70" t="s">
        <v>120</v>
      </c>
      <c r="C31" s="5">
        <f>+D20</f>
        <v>207851.56875000001</v>
      </c>
      <c r="D31" s="5">
        <f>+D26</f>
        <v>230251.61250000002</v>
      </c>
      <c r="E31" s="2"/>
    </row>
    <row r="32" spans="2:22" x14ac:dyDescent="0.25">
      <c r="B32" s="70" t="s">
        <v>153</v>
      </c>
      <c r="C32" s="5">
        <f>+F21</f>
        <v>63345.240000000005</v>
      </c>
      <c r="D32" s="5">
        <f>+F27</f>
        <v>70171.92</v>
      </c>
    </row>
    <row r="34" spans="5:5" x14ac:dyDescent="0.25">
      <c r="E34" s="2">
        <f>AVERAGE(E18,E24)</f>
        <v>211124.00925</v>
      </c>
    </row>
  </sheetData>
  <mergeCells count="1">
    <mergeCell ref="I9:I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AO96"/>
  <sheetViews>
    <sheetView topLeftCell="A72" zoomScaleNormal="100" workbookViewId="0">
      <selection activeCell="R8" sqref="R8:R9"/>
    </sheetView>
  </sheetViews>
  <sheetFormatPr baseColWidth="10" defaultRowHeight="15" x14ac:dyDescent="0.25"/>
  <cols>
    <col min="1" max="1" width="4.28515625" customWidth="1"/>
    <col min="2" max="2" width="29.5703125" customWidth="1"/>
  </cols>
  <sheetData>
    <row r="2" spans="2:39" x14ac:dyDescent="0.25">
      <c r="L2" s="42">
        <v>0.19</v>
      </c>
      <c r="O2" s="18">
        <v>0.1028</v>
      </c>
      <c r="R2">
        <f>150000/20594</f>
        <v>7.2836748567543941</v>
      </c>
    </row>
    <row r="3" spans="2:39" x14ac:dyDescent="0.25">
      <c r="B3" s="1" t="s">
        <v>134</v>
      </c>
    </row>
    <row r="4" spans="2:39" x14ac:dyDescent="0.25">
      <c r="B4" s="4"/>
      <c r="C4" s="4">
        <v>0</v>
      </c>
      <c r="D4" s="45">
        <v>44927</v>
      </c>
      <c r="E4" s="45">
        <v>44958</v>
      </c>
      <c r="F4" s="45">
        <v>44986</v>
      </c>
      <c r="G4" s="45">
        <v>45017</v>
      </c>
      <c r="H4" s="45">
        <v>45047</v>
      </c>
      <c r="I4" s="45">
        <v>45078</v>
      </c>
      <c r="J4" s="45">
        <v>45108</v>
      </c>
      <c r="K4" s="45">
        <v>45139</v>
      </c>
      <c r="L4" s="45">
        <v>45170</v>
      </c>
      <c r="M4" s="45">
        <v>45200</v>
      </c>
      <c r="N4" s="45">
        <v>45231</v>
      </c>
      <c r="O4" s="45">
        <v>45261</v>
      </c>
      <c r="P4" s="45">
        <v>45292</v>
      </c>
      <c r="Q4" s="45">
        <v>45323</v>
      </c>
      <c r="R4" s="45">
        <v>45352</v>
      </c>
      <c r="S4" s="45">
        <v>45383</v>
      </c>
      <c r="T4" s="45">
        <v>45413</v>
      </c>
      <c r="U4" s="45">
        <v>45444</v>
      </c>
      <c r="V4" s="45">
        <v>45474</v>
      </c>
      <c r="W4" s="45">
        <v>45505</v>
      </c>
      <c r="X4" s="45">
        <v>45536</v>
      </c>
      <c r="Y4" s="45">
        <v>45566</v>
      </c>
      <c r="Z4" s="45">
        <v>45597</v>
      </c>
      <c r="AA4" s="45">
        <v>45627</v>
      </c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</row>
    <row r="5" spans="2:39" x14ac:dyDescent="0.25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2:39" x14ac:dyDescent="0.25">
      <c r="B6" s="46" t="s">
        <v>122</v>
      </c>
      <c r="C6" s="5"/>
      <c r="D6" s="5">
        <f>+Ingresos!$E$18</f>
        <v>200329.32150000002</v>
      </c>
      <c r="E6" s="5">
        <f>+Ingresos!$E$18</f>
        <v>200329.32150000002</v>
      </c>
      <c r="F6" s="5">
        <f>+Ingresos!$E$18</f>
        <v>200329.32150000002</v>
      </c>
      <c r="G6" s="5">
        <f>+Ingresos!$E$18</f>
        <v>200329.32150000002</v>
      </c>
      <c r="H6" s="5">
        <f>+Ingresos!$E$18</f>
        <v>200329.32150000002</v>
      </c>
      <c r="I6" s="5">
        <f>+Ingresos!$E$18</f>
        <v>200329.32150000002</v>
      </c>
      <c r="J6" s="5">
        <f>+Ingresos!$E$18</f>
        <v>200329.32150000002</v>
      </c>
      <c r="K6" s="5">
        <f>+Ingresos!$E$18</f>
        <v>200329.32150000002</v>
      </c>
      <c r="L6" s="5">
        <f>+Ingresos!$E$18</f>
        <v>200329.32150000002</v>
      </c>
      <c r="M6" s="5">
        <f>+Ingresos!$E$18</f>
        <v>200329.32150000002</v>
      </c>
      <c r="N6" s="5">
        <f>+Ingresos!$E$18</f>
        <v>200329.32150000002</v>
      </c>
      <c r="O6" s="5">
        <f>+Ingresos!$E$18</f>
        <v>200329.32150000002</v>
      </c>
      <c r="P6" s="5">
        <f>+Ingresos!$E$24</f>
        <v>221918.69700000001</v>
      </c>
      <c r="Q6" s="5">
        <f>+Ingresos!$E$24</f>
        <v>221918.69700000001</v>
      </c>
      <c r="R6" s="5">
        <f>+Ingresos!$E$24</f>
        <v>221918.69700000001</v>
      </c>
      <c r="S6" s="5">
        <f>+Ingresos!$E$24</f>
        <v>221918.69700000001</v>
      </c>
      <c r="T6" s="5">
        <f>+Ingresos!$E$24</f>
        <v>221918.69700000001</v>
      </c>
      <c r="U6" s="5">
        <f>+Ingresos!$E$24</f>
        <v>221918.69700000001</v>
      </c>
      <c r="V6" s="5">
        <f>+Ingresos!$E$24</f>
        <v>221918.69700000001</v>
      </c>
      <c r="W6" s="5">
        <f>+Ingresos!$E$24</f>
        <v>221918.69700000001</v>
      </c>
      <c r="X6" s="5">
        <f>+Ingresos!$E$24</f>
        <v>221918.69700000001</v>
      </c>
      <c r="Y6" s="5">
        <f>+Ingresos!$E$24</f>
        <v>221918.69700000001</v>
      </c>
      <c r="Z6" s="5">
        <f>+Ingresos!$E$24</f>
        <v>221918.69700000001</v>
      </c>
      <c r="AA6" s="5">
        <f>+Ingresos!$E$24</f>
        <v>221918.69700000001</v>
      </c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</row>
    <row r="7" spans="2:39" x14ac:dyDescent="0.25">
      <c r="B7" s="46" t="s">
        <v>123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</row>
    <row r="8" spans="2:39" x14ac:dyDescent="0.25">
      <c r="B8" s="47" t="s">
        <v>100</v>
      </c>
      <c r="C8" s="5"/>
      <c r="D8" s="5">
        <f>-'Costos operación mina'!$H$36-'Costos de operación proceso'!$D$11</f>
        <v>-63207.916163328424</v>
      </c>
      <c r="E8" s="5">
        <f>-'Costos operación mina'!$H$36-'Costos de operación proceso'!$D$11</f>
        <v>-63207.916163328424</v>
      </c>
      <c r="F8" s="5">
        <f>-'Costos operación mina'!$H$36-'Costos de operación proceso'!$D$11</f>
        <v>-63207.916163328424</v>
      </c>
      <c r="G8" s="5">
        <f>-'Costos operación mina'!$H$36-'Costos de operación proceso'!$D$11</f>
        <v>-63207.916163328424</v>
      </c>
      <c r="H8" s="5">
        <f>-'Costos operación mina'!$H$36-'Costos de operación proceso'!$D$11</f>
        <v>-63207.916163328424</v>
      </c>
      <c r="I8" s="5">
        <f>-'Costos operación mina'!$H$36-'Costos de operación proceso'!$D$11</f>
        <v>-63207.916163328424</v>
      </c>
      <c r="J8" s="5">
        <f>-'Costos operación mina'!$H$36-'Costos de operación proceso'!$D$11</f>
        <v>-63207.916163328424</v>
      </c>
      <c r="K8" s="5">
        <f>-'Costos operación mina'!$H$36-'Costos de operación proceso'!$D$11</f>
        <v>-63207.916163328424</v>
      </c>
      <c r="L8" s="5">
        <f>-'Costos operación mina'!$H$36-'Costos de operación proceso'!$D$11</f>
        <v>-63207.916163328424</v>
      </c>
      <c r="M8" s="5">
        <f>-'Costos operación mina'!$H$36-'Costos de operación proceso'!$D$11</f>
        <v>-63207.916163328424</v>
      </c>
      <c r="N8" s="5">
        <f>-'Costos operación mina'!$H$36-'Costos de operación proceso'!$D$11</f>
        <v>-63207.916163328424</v>
      </c>
      <c r="O8" s="5">
        <f>-'Costos operación mina'!$H$36-'Costos de operación proceso'!$D$11</f>
        <v>-63207.916163328424</v>
      </c>
      <c r="P8" s="5">
        <f>-'Costos operación mina'!$I$36-'Costos de operación proceso'!$D$11</f>
        <v>-64044.710294498145</v>
      </c>
      <c r="Q8" s="5">
        <f>-'Costos operación mina'!$I$36-'Costos de operación proceso'!$D$11</f>
        <v>-64044.710294498145</v>
      </c>
      <c r="R8" s="5">
        <f>-'Costos operación mina'!$I$36-'Costos de operación proceso'!$D$11</f>
        <v>-64044.710294498145</v>
      </c>
      <c r="S8" s="5">
        <f>-'Costos operación mina'!$I$36-'Costos de operación proceso'!$D$11</f>
        <v>-64044.710294498145</v>
      </c>
      <c r="T8" s="5">
        <f>-'Costos operación mina'!$I$36-'Costos de operación proceso'!$D$11</f>
        <v>-64044.710294498145</v>
      </c>
      <c r="U8" s="5">
        <f>-'Costos operación mina'!$I$36-'Costos de operación proceso'!$D$11</f>
        <v>-64044.710294498145</v>
      </c>
      <c r="V8" s="5">
        <f>-'Costos operación mina'!$I$36-'Costos de operación proceso'!$D$11</f>
        <v>-64044.710294498145</v>
      </c>
      <c r="W8" s="5">
        <f>-'Costos operación mina'!$I$36-'Costos de operación proceso'!$D$11</f>
        <v>-64044.710294498145</v>
      </c>
      <c r="X8" s="5">
        <f>-'Costos operación mina'!$I$36-'Costos de operación proceso'!$D$11</f>
        <v>-64044.710294498145</v>
      </c>
      <c r="Y8" s="5">
        <f>-'Costos operación mina'!$I$36-'Costos de operación proceso'!$D$11</f>
        <v>-64044.710294498145</v>
      </c>
      <c r="Z8" s="5">
        <f>-'Costos operación mina'!$I$36-'Costos de operación proceso'!$D$11</f>
        <v>-64044.710294498145</v>
      </c>
      <c r="AA8" s="5">
        <f>-'Costos operación mina'!$I$36-'Costos de operación proceso'!$D$11</f>
        <v>-64044.710294498145</v>
      </c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</row>
    <row r="9" spans="2:39" x14ac:dyDescent="0.25">
      <c r="B9" s="47" t="s">
        <v>99</v>
      </c>
      <c r="C9" s="5"/>
      <c r="D9" s="5"/>
      <c r="E9" s="5">
        <f>-'Costos operación mina'!H41</f>
        <v>-919.54022988505744</v>
      </c>
      <c r="F9" s="5">
        <f>-'Costos operación mina'!H40</f>
        <v>-9195.4022988505749</v>
      </c>
      <c r="G9" s="5">
        <f>-'Costos operación mina'!H41</f>
        <v>-919.54022988505744</v>
      </c>
      <c r="H9" s="5"/>
      <c r="I9" s="5">
        <f>-'Costos operación mina'!H42-'Costos operación mina'!H41</f>
        <v>-3839.0804597701153</v>
      </c>
      <c r="J9" s="5"/>
      <c r="K9" s="5">
        <f>-'Costos operación mina'!H41</f>
        <v>-919.54022988505744</v>
      </c>
      <c r="L9" s="5"/>
      <c r="M9" s="5">
        <f>-'Costos operación mina'!H41</f>
        <v>-919.54022988505744</v>
      </c>
      <c r="N9" s="5">
        <f>-'Costos operación mina'!H42</f>
        <v>-2919.5402298850577</v>
      </c>
      <c r="O9" s="5">
        <f>-'Costos operación mina'!H41</f>
        <v>-919.54022988505744</v>
      </c>
      <c r="P9" s="5"/>
      <c r="Q9" s="5">
        <f>-'Costos operación mina'!I41</f>
        <v>-941.17647058823525</v>
      </c>
      <c r="R9" s="5">
        <f>-'Costos operación mina'!I40</f>
        <v>-9411.7647058823532</v>
      </c>
      <c r="S9" s="5">
        <f>-'Costos operación mina'!I41</f>
        <v>-941.17647058823525</v>
      </c>
      <c r="T9" s="5">
        <f>-'Costos operación mina'!I42</f>
        <v>-2988.2352941176468</v>
      </c>
      <c r="U9" s="5">
        <f>-'Costos operación mina'!I41</f>
        <v>-941.17647058823525</v>
      </c>
      <c r="V9" s="5"/>
      <c r="W9" s="5">
        <f>-'Costos operación mina'!I41</f>
        <v>-941.17647058823525</v>
      </c>
      <c r="X9" s="5"/>
      <c r="Y9" s="5">
        <f>-'Costos operación mina'!I41</f>
        <v>-941.17647058823525</v>
      </c>
      <c r="Z9" s="5">
        <f>-'Costos operación mina'!I42</f>
        <v>-2988.2352941176468</v>
      </c>
      <c r="AA9" s="5">
        <f>-'Costos operación mina'!I41</f>
        <v>-941.17647058823525</v>
      </c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</row>
    <row r="10" spans="2:39" ht="30" x14ac:dyDescent="0.25">
      <c r="B10" s="48" t="s">
        <v>132</v>
      </c>
      <c r="C10" s="5"/>
      <c r="D10" s="5">
        <f>-900/12</f>
        <v>-75</v>
      </c>
      <c r="E10" s="5">
        <f>-900/12</f>
        <v>-75</v>
      </c>
      <c r="F10" s="5">
        <f t="shared" ref="F10:AA10" si="0">-900/12</f>
        <v>-75</v>
      </c>
      <c r="G10" s="5">
        <f t="shared" si="0"/>
        <v>-75</v>
      </c>
      <c r="H10" s="5">
        <f t="shared" si="0"/>
        <v>-75</v>
      </c>
      <c r="I10" s="5">
        <f t="shared" si="0"/>
        <v>-75</v>
      </c>
      <c r="J10" s="5">
        <f t="shared" si="0"/>
        <v>-75</v>
      </c>
      <c r="K10" s="5">
        <f t="shared" si="0"/>
        <v>-75</v>
      </c>
      <c r="L10" s="5">
        <f t="shared" si="0"/>
        <v>-75</v>
      </c>
      <c r="M10" s="5">
        <f t="shared" si="0"/>
        <v>-75</v>
      </c>
      <c r="N10" s="5">
        <f t="shared" si="0"/>
        <v>-75</v>
      </c>
      <c r="O10" s="5">
        <f t="shared" si="0"/>
        <v>-75</v>
      </c>
      <c r="P10" s="5">
        <f t="shared" si="0"/>
        <v>-75</v>
      </c>
      <c r="Q10" s="5">
        <f t="shared" si="0"/>
        <v>-75</v>
      </c>
      <c r="R10" s="5">
        <f t="shared" si="0"/>
        <v>-75</v>
      </c>
      <c r="S10" s="5">
        <f t="shared" si="0"/>
        <v>-75</v>
      </c>
      <c r="T10" s="5">
        <f t="shared" si="0"/>
        <v>-75</v>
      </c>
      <c r="U10" s="5">
        <f t="shared" si="0"/>
        <v>-75</v>
      </c>
      <c r="V10" s="5">
        <f t="shared" si="0"/>
        <v>-75</v>
      </c>
      <c r="W10" s="5">
        <f t="shared" si="0"/>
        <v>-75</v>
      </c>
      <c r="X10" s="5">
        <f t="shared" si="0"/>
        <v>-75</v>
      </c>
      <c r="Y10" s="5">
        <f t="shared" si="0"/>
        <v>-75</v>
      </c>
      <c r="Z10" s="5">
        <f t="shared" si="0"/>
        <v>-75</v>
      </c>
      <c r="AA10" s="5">
        <f t="shared" si="0"/>
        <v>-75</v>
      </c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</row>
    <row r="11" spans="2:39" x14ac:dyDescent="0.25">
      <c r="B11" s="46" t="s">
        <v>129</v>
      </c>
      <c r="C11" s="5"/>
      <c r="D11" s="5">
        <f t="shared" ref="D11:AA11" si="1">+SUM(D6:D10)</f>
        <v>137046.4053366716</v>
      </c>
      <c r="E11" s="5">
        <f t="shared" si="1"/>
        <v>136126.86510678654</v>
      </c>
      <c r="F11" s="5">
        <f t="shared" si="1"/>
        <v>127851.00303782102</v>
      </c>
      <c r="G11" s="5">
        <f t="shared" si="1"/>
        <v>136126.86510678654</v>
      </c>
      <c r="H11" s="5">
        <f t="shared" si="1"/>
        <v>137046.4053366716</v>
      </c>
      <c r="I11" s="5">
        <f t="shared" si="1"/>
        <v>133207.32487690149</v>
      </c>
      <c r="J11" s="5">
        <f t="shared" si="1"/>
        <v>137046.4053366716</v>
      </c>
      <c r="K11" s="5">
        <f t="shared" si="1"/>
        <v>136126.86510678654</v>
      </c>
      <c r="L11" s="5">
        <f t="shared" si="1"/>
        <v>137046.4053366716</v>
      </c>
      <c r="M11" s="5">
        <f t="shared" si="1"/>
        <v>136126.86510678654</v>
      </c>
      <c r="N11" s="5">
        <f t="shared" si="1"/>
        <v>134126.86510678654</v>
      </c>
      <c r="O11" s="5">
        <f t="shared" si="1"/>
        <v>136126.86510678654</v>
      </c>
      <c r="P11" s="5">
        <f t="shared" si="1"/>
        <v>157798.98670550185</v>
      </c>
      <c r="Q11" s="5">
        <f t="shared" si="1"/>
        <v>156857.81023491363</v>
      </c>
      <c r="R11" s="5">
        <f t="shared" si="1"/>
        <v>148387.22199961951</v>
      </c>
      <c r="S11" s="5">
        <f t="shared" si="1"/>
        <v>156857.81023491363</v>
      </c>
      <c r="T11" s="5">
        <f t="shared" si="1"/>
        <v>154810.7514113842</v>
      </c>
      <c r="U11" s="5">
        <f t="shared" si="1"/>
        <v>156857.81023491363</v>
      </c>
      <c r="V11" s="5">
        <f t="shared" si="1"/>
        <v>157798.98670550185</v>
      </c>
      <c r="W11" s="5">
        <f t="shared" si="1"/>
        <v>156857.81023491363</v>
      </c>
      <c r="X11" s="5">
        <f t="shared" si="1"/>
        <v>157798.98670550185</v>
      </c>
      <c r="Y11" s="5">
        <f t="shared" si="1"/>
        <v>156857.81023491363</v>
      </c>
      <c r="Z11" s="5">
        <f t="shared" si="1"/>
        <v>154810.7514113842</v>
      </c>
      <c r="AA11" s="5">
        <f t="shared" si="1"/>
        <v>156857.81023491363</v>
      </c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</row>
    <row r="12" spans="2:39" x14ac:dyDescent="0.25">
      <c r="B12" s="4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r="13" spans="2:39" x14ac:dyDescent="0.25">
      <c r="B13" s="46" t="s">
        <v>128</v>
      </c>
      <c r="C13" s="5"/>
      <c r="D13" s="5">
        <f>+D11*$L$2</f>
        <v>26038.817013967604</v>
      </c>
      <c r="E13" s="5">
        <f t="shared" ref="E13:AA13" si="2">+E11*$L$2</f>
        <v>25864.104370289442</v>
      </c>
      <c r="F13" s="5">
        <f t="shared" si="2"/>
        <v>24291.690577185993</v>
      </c>
      <c r="G13" s="5">
        <f t="shared" si="2"/>
        <v>25864.104370289442</v>
      </c>
      <c r="H13" s="5">
        <f t="shared" si="2"/>
        <v>26038.817013967604</v>
      </c>
      <c r="I13" s="5">
        <f t="shared" si="2"/>
        <v>25309.391726611284</v>
      </c>
      <c r="J13" s="5">
        <f t="shared" si="2"/>
        <v>26038.817013967604</v>
      </c>
      <c r="K13" s="5">
        <f t="shared" si="2"/>
        <v>25864.104370289442</v>
      </c>
      <c r="L13" s="5">
        <f t="shared" si="2"/>
        <v>26038.817013967604</v>
      </c>
      <c r="M13" s="5">
        <f t="shared" si="2"/>
        <v>25864.104370289442</v>
      </c>
      <c r="N13" s="5">
        <f t="shared" si="2"/>
        <v>25484.104370289442</v>
      </c>
      <c r="O13" s="5">
        <f t="shared" si="2"/>
        <v>25864.104370289442</v>
      </c>
      <c r="P13" s="5">
        <f t="shared" si="2"/>
        <v>29981.807474045352</v>
      </c>
      <c r="Q13" s="5">
        <f t="shared" si="2"/>
        <v>29802.98394463359</v>
      </c>
      <c r="R13" s="5">
        <f t="shared" si="2"/>
        <v>28193.572179927705</v>
      </c>
      <c r="S13" s="5">
        <f t="shared" si="2"/>
        <v>29802.98394463359</v>
      </c>
      <c r="T13" s="5">
        <f t="shared" si="2"/>
        <v>29414.042768162999</v>
      </c>
      <c r="U13" s="5">
        <f t="shared" si="2"/>
        <v>29802.98394463359</v>
      </c>
      <c r="V13" s="5">
        <f t="shared" si="2"/>
        <v>29981.807474045352</v>
      </c>
      <c r="W13" s="5">
        <f t="shared" si="2"/>
        <v>29802.98394463359</v>
      </c>
      <c r="X13" s="5">
        <f t="shared" si="2"/>
        <v>29981.807474045352</v>
      </c>
      <c r="Y13" s="5">
        <f t="shared" si="2"/>
        <v>29802.98394463359</v>
      </c>
      <c r="Z13" s="5">
        <f t="shared" si="2"/>
        <v>29414.042768162999</v>
      </c>
      <c r="AA13" s="5">
        <f t="shared" si="2"/>
        <v>29802.98394463359</v>
      </c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2:39" x14ac:dyDescent="0.25">
      <c r="B14" s="46" t="s">
        <v>130</v>
      </c>
      <c r="C14" s="5"/>
      <c r="D14" s="5">
        <f>D11-D13</f>
        <v>111007.58832270399</v>
      </c>
      <c r="E14" s="5">
        <f t="shared" ref="E14:O14" si="3">E11-E13</f>
        <v>110262.7607364971</v>
      </c>
      <c r="F14" s="5">
        <f t="shared" si="3"/>
        <v>103559.31246063503</v>
      </c>
      <c r="G14" s="5">
        <f t="shared" si="3"/>
        <v>110262.7607364971</v>
      </c>
      <c r="H14" s="5">
        <f t="shared" si="3"/>
        <v>111007.58832270399</v>
      </c>
      <c r="I14" s="5">
        <f t="shared" si="3"/>
        <v>107897.93315029021</v>
      </c>
      <c r="J14" s="5">
        <f t="shared" si="3"/>
        <v>111007.58832270399</v>
      </c>
      <c r="K14" s="5">
        <f t="shared" si="3"/>
        <v>110262.7607364971</v>
      </c>
      <c r="L14" s="5">
        <f t="shared" si="3"/>
        <v>111007.58832270399</v>
      </c>
      <c r="M14" s="5">
        <f t="shared" si="3"/>
        <v>110262.7607364971</v>
      </c>
      <c r="N14" s="5">
        <f t="shared" si="3"/>
        <v>108642.7607364971</v>
      </c>
      <c r="O14" s="5">
        <f t="shared" si="3"/>
        <v>110262.7607364971</v>
      </c>
      <c r="P14" s="5">
        <f t="shared" ref="P14" si="4">P11-P13</f>
        <v>127817.17923145651</v>
      </c>
      <c r="Q14" s="5">
        <f t="shared" ref="Q14" si="5">Q11-Q13</f>
        <v>127054.82629028003</v>
      </c>
      <c r="R14" s="5">
        <f t="shared" ref="R14" si="6">R11-R13</f>
        <v>120193.6498196918</v>
      </c>
      <c r="S14" s="5">
        <f t="shared" ref="S14" si="7">S11-S13</f>
        <v>127054.82629028003</v>
      </c>
      <c r="T14" s="5">
        <f t="shared" ref="T14" si="8">T11-T13</f>
        <v>125396.70864322121</v>
      </c>
      <c r="U14" s="5">
        <f t="shared" ref="U14" si="9">U11-U13</f>
        <v>127054.82629028003</v>
      </c>
      <c r="V14" s="5">
        <f t="shared" ref="V14" si="10">V11-V13</f>
        <v>127817.17923145651</v>
      </c>
      <c r="W14" s="5">
        <f t="shared" ref="W14" si="11">W11-W13</f>
        <v>127054.82629028003</v>
      </c>
      <c r="X14" s="5">
        <f t="shared" ref="X14" si="12">X11-X13</f>
        <v>127817.17923145651</v>
      </c>
      <c r="Y14" s="5">
        <f t="shared" ref="Y14" si="13">Y11-Y13</f>
        <v>127054.82629028003</v>
      </c>
      <c r="Z14" s="5">
        <f t="shared" ref="Z14" si="14">Z11-Z13</f>
        <v>125396.70864322121</v>
      </c>
      <c r="AA14" s="5">
        <f t="shared" ref="AA14" si="15">AA11-AA13</f>
        <v>127054.82629028003</v>
      </c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</row>
    <row r="15" spans="2:39" x14ac:dyDescent="0.25">
      <c r="B15" s="46" t="s">
        <v>124</v>
      </c>
      <c r="C15" s="5"/>
      <c r="D15" s="5">
        <v>75</v>
      </c>
      <c r="E15" s="5">
        <v>75</v>
      </c>
      <c r="F15" s="5">
        <v>75</v>
      </c>
      <c r="G15" s="5">
        <v>75</v>
      </c>
      <c r="H15" s="5">
        <v>75</v>
      </c>
      <c r="I15" s="5">
        <v>75</v>
      </c>
      <c r="J15" s="5">
        <v>75</v>
      </c>
      <c r="K15" s="5">
        <v>75</v>
      </c>
      <c r="L15" s="5">
        <v>75</v>
      </c>
      <c r="M15" s="5">
        <v>75</v>
      </c>
      <c r="N15" s="5">
        <v>75</v>
      </c>
      <c r="O15" s="5">
        <v>75</v>
      </c>
      <c r="P15" s="5">
        <v>75</v>
      </c>
      <c r="Q15" s="5">
        <v>75</v>
      </c>
      <c r="R15" s="5">
        <v>75</v>
      </c>
      <c r="S15" s="5">
        <v>75</v>
      </c>
      <c r="T15" s="5">
        <v>75</v>
      </c>
      <c r="U15" s="5">
        <v>75</v>
      </c>
      <c r="V15" s="5">
        <v>75</v>
      </c>
      <c r="W15" s="5">
        <v>75</v>
      </c>
      <c r="X15" s="5">
        <v>75</v>
      </c>
      <c r="Y15" s="5">
        <v>75</v>
      </c>
      <c r="Z15" s="5">
        <v>75</v>
      </c>
      <c r="AA15" s="5">
        <v>75</v>
      </c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</row>
    <row r="16" spans="2:39" x14ac:dyDescent="0.25">
      <c r="B16" s="46" t="s">
        <v>125</v>
      </c>
      <c r="C16" s="5">
        <f>-'Inversión mina'!G25</f>
        <v>-240054.67816091955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</row>
    <row r="17" spans="2:41" x14ac:dyDescent="0.25">
      <c r="B17" s="48" t="s">
        <v>150</v>
      </c>
      <c r="C17" s="5"/>
      <c r="D17" s="5">
        <f t="shared" ref="D17:J17" si="16">-D6*$O$2</f>
        <v>-20593.854250200002</v>
      </c>
      <c r="E17" s="5">
        <f t="shared" si="16"/>
        <v>-20593.854250200002</v>
      </c>
      <c r="F17" s="5">
        <f t="shared" si="16"/>
        <v>-20593.854250200002</v>
      </c>
      <c r="G17" s="5">
        <f t="shared" si="16"/>
        <v>-20593.854250200002</v>
      </c>
      <c r="H17" s="5">
        <f t="shared" si="16"/>
        <v>-20593.854250200002</v>
      </c>
      <c r="I17" s="5">
        <f t="shared" si="16"/>
        <v>-20593.854250200002</v>
      </c>
      <c r="J17" s="5">
        <f t="shared" si="16"/>
        <v>-20593.854250200002</v>
      </c>
      <c r="K17" s="53">
        <v>-5843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</row>
    <row r="18" spans="2:41" x14ac:dyDescent="0.25">
      <c r="B18" s="46" t="s">
        <v>126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</row>
    <row r="19" spans="2:41" x14ac:dyDescent="0.25">
      <c r="B19" s="46" t="s">
        <v>127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</row>
    <row r="20" spans="2:41" x14ac:dyDescent="0.25">
      <c r="B20" s="46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</row>
    <row r="21" spans="2:41" x14ac:dyDescent="0.25">
      <c r="B21" s="11" t="s">
        <v>131</v>
      </c>
      <c r="C21" s="10">
        <f>+SUM(C14:C19)</f>
        <v>-240054.67816091955</v>
      </c>
      <c r="D21" s="10">
        <f t="shared" ref="D21:AA21" si="17">+SUM(D14:D19)</f>
        <v>90488.734072503983</v>
      </c>
      <c r="E21" s="10">
        <f t="shared" si="17"/>
        <v>89743.906486297099</v>
      </c>
      <c r="F21" s="10">
        <f t="shared" si="17"/>
        <v>83040.458210435027</v>
      </c>
      <c r="G21" s="10">
        <f t="shared" si="17"/>
        <v>89743.906486297099</v>
      </c>
      <c r="H21" s="10">
        <f t="shared" si="17"/>
        <v>90488.734072503983</v>
      </c>
      <c r="I21" s="10">
        <f t="shared" si="17"/>
        <v>87379.0789000902</v>
      </c>
      <c r="J21" s="10">
        <f t="shared" si="17"/>
        <v>90488.734072503983</v>
      </c>
      <c r="K21" s="10">
        <f t="shared" si="17"/>
        <v>104494.7607364971</v>
      </c>
      <c r="L21" s="10">
        <f t="shared" si="17"/>
        <v>111082.58832270399</v>
      </c>
      <c r="M21" s="10">
        <f t="shared" si="17"/>
        <v>110337.7607364971</v>
      </c>
      <c r="N21" s="10">
        <f t="shared" si="17"/>
        <v>108717.7607364971</v>
      </c>
      <c r="O21" s="10">
        <f t="shared" si="17"/>
        <v>110337.7607364971</v>
      </c>
      <c r="P21" s="10">
        <f t="shared" si="17"/>
        <v>127892.17923145651</v>
      </c>
      <c r="Q21" s="10">
        <f t="shared" si="17"/>
        <v>127129.82629028003</v>
      </c>
      <c r="R21" s="10">
        <f t="shared" si="17"/>
        <v>120268.6498196918</v>
      </c>
      <c r="S21" s="10">
        <f t="shared" si="17"/>
        <v>127129.82629028003</v>
      </c>
      <c r="T21" s="10">
        <f t="shared" si="17"/>
        <v>125471.70864322121</v>
      </c>
      <c r="U21" s="10">
        <f t="shared" si="17"/>
        <v>127129.82629028003</v>
      </c>
      <c r="V21" s="10">
        <f t="shared" si="17"/>
        <v>127892.17923145651</v>
      </c>
      <c r="W21" s="10">
        <f t="shared" si="17"/>
        <v>127129.82629028003</v>
      </c>
      <c r="X21" s="10">
        <f t="shared" si="17"/>
        <v>127892.17923145651</v>
      </c>
      <c r="Y21" s="10">
        <f t="shared" si="17"/>
        <v>127129.82629028003</v>
      </c>
      <c r="Z21" s="10">
        <f t="shared" si="17"/>
        <v>125471.70864322121</v>
      </c>
      <c r="AA21" s="10">
        <f t="shared" si="17"/>
        <v>127129.82629028003</v>
      </c>
      <c r="AB21" s="34"/>
      <c r="AC21" s="34"/>
      <c r="AD21" s="34"/>
      <c r="AE21" s="34">
        <f>AA21-D21</f>
        <v>36641.092217776051</v>
      </c>
      <c r="AF21" s="34"/>
      <c r="AG21" s="34"/>
      <c r="AH21" s="34"/>
      <c r="AI21" s="34"/>
      <c r="AJ21" s="34"/>
      <c r="AK21" s="34"/>
      <c r="AL21" s="34"/>
      <c r="AM21" s="34"/>
    </row>
    <row r="22" spans="2:41" x14ac:dyDescent="0.25"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</row>
    <row r="23" spans="2:41" x14ac:dyDescent="0.25">
      <c r="B23" s="1" t="s">
        <v>135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</row>
    <row r="24" spans="2:41" x14ac:dyDescent="0.25">
      <c r="B24" s="4"/>
      <c r="C24" s="4">
        <v>0</v>
      </c>
      <c r="D24" s="45">
        <v>44927</v>
      </c>
      <c r="E24" s="45">
        <v>44958</v>
      </c>
      <c r="F24" s="45">
        <v>44986</v>
      </c>
      <c r="G24" s="45">
        <v>45017</v>
      </c>
      <c r="H24" s="45">
        <v>45047</v>
      </c>
      <c r="I24" s="45">
        <v>45078</v>
      </c>
      <c r="J24" s="45">
        <v>45108</v>
      </c>
      <c r="K24" s="45">
        <v>45139</v>
      </c>
      <c r="L24" s="45">
        <v>45170</v>
      </c>
      <c r="M24" s="45">
        <v>45200</v>
      </c>
      <c r="N24" s="45">
        <v>45231</v>
      </c>
      <c r="O24" s="45">
        <v>45261</v>
      </c>
      <c r="P24" s="45">
        <v>45292</v>
      </c>
      <c r="Q24" s="45">
        <v>45323</v>
      </c>
      <c r="R24" s="45">
        <v>45352</v>
      </c>
      <c r="S24" s="45">
        <v>45383</v>
      </c>
      <c r="T24" s="45">
        <v>45413</v>
      </c>
      <c r="U24" s="45">
        <v>45444</v>
      </c>
      <c r="V24" s="45">
        <v>45474</v>
      </c>
      <c r="W24" s="45">
        <v>45505</v>
      </c>
      <c r="X24" s="45">
        <v>45536</v>
      </c>
      <c r="Y24" s="45">
        <v>45566</v>
      </c>
      <c r="Z24" s="45">
        <v>45597</v>
      </c>
      <c r="AA24" s="45">
        <v>45627</v>
      </c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</row>
    <row r="25" spans="2:41" x14ac:dyDescent="0.25"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2:41" x14ac:dyDescent="0.25">
      <c r="B26" s="46" t="s">
        <v>122</v>
      </c>
      <c r="C26" s="5"/>
      <c r="D26" s="5">
        <f>+Ingresos!$C$19</f>
        <v>185086.87312500004</v>
      </c>
      <c r="E26" s="5">
        <f>+Ingresos!$C$19</f>
        <v>185086.87312500004</v>
      </c>
      <c r="F26" s="5">
        <f>+Ingresos!$C$19</f>
        <v>185086.87312500004</v>
      </c>
      <c r="G26" s="5">
        <f>+Ingresos!$C$19</f>
        <v>185086.87312500004</v>
      </c>
      <c r="H26" s="5">
        <f>+Ingresos!$C$19</f>
        <v>185086.87312500004</v>
      </c>
      <c r="I26" s="5">
        <f>+Ingresos!$C$19</f>
        <v>185086.87312500004</v>
      </c>
      <c r="J26" s="5">
        <f>+Ingresos!$C$19</f>
        <v>185086.87312500004</v>
      </c>
      <c r="K26" s="5">
        <f>+Ingresos!$C$19</f>
        <v>185086.87312500004</v>
      </c>
      <c r="L26" s="5">
        <f>+Ingresos!$C$19</f>
        <v>185086.87312500004</v>
      </c>
      <c r="M26" s="5">
        <f>+Ingresos!$C$19</f>
        <v>185086.87312500004</v>
      </c>
      <c r="N26" s="5">
        <f>+Ingresos!$C$19</f>
        <v>185086.87312500004</v>
      </c>
      <c r="O26" s="5">
        <f>+Ingresos!$C$19</f>
        <v>185086.87312500004</v>
      </c>
      <c r="P26" s="5">
        <f>+Ingresos!$C$25</f>
        <v>205033.57875000004</v>
      </c>
      <c r="Q26" s="5">
        <f>+Ingresos!$C$25</f>
        <v>205033.57875000004</v>
      </c>
      <c r="R26" s="5">
        <f>+Ingresos!$C$25</f>
        <v>205033.57875000004</v>
      </c>
      <c r="S26" s="5">
        <f>+Ingresos!$C$25</f>
        <v>205033.57875000004</v>
      </c>
      <c r="T26" s="5">
        <f>+Ingresos!$C$25</f>
        <v>205033.57875000004</v>
      </c>
      <c r="U26" s="5">
        <f>+Ingresos!$C$25</f>
        <v>205033.57875000004</v>
      </c>
      <c r="V26" s="5">
        <f>+Ingresos!$C$25</f>
        <v>205033.57875000004</v>
      </c>
      <c r="W26" s="5">
        <f>+Ingresos!$C$25</f>
        <v>205033.57875000004</v>
      </c>
      <c r="X26" s="5">
        <f>+Ingresos!$C$25</f>
        <v>205033.57875000004</v>
      </c>
      <c r="Y26" s="5">
        <f>+Ingresos!$C$25</f>
        <v>205033.57875000004</v>
      </c>
      <c r="Z26" s="5">
        <f>+Ingresos!$C$25</f>
        <v>205033.57875000004</v>
      </c>
      <c r="AA26" s="5">
        <f>+Ingresos!$C$25</f>
        <v>205033.57875000004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2:41" x14ac:dyDescent="0.25">
      <c r="B27" s="46" t="s">
        <v>123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2:41" x14ac:dyDescent="0.25">
      <c r="B28" s="47" t="s">
        <v>100</v>
      </c>
      <c r="C28" s="5"/>
      <c r="D28" s="5">
        <f>-'Costos operación mina'!$H$36-'Costos de operación proceso'!$D$12</f>
        <v>-88956.764804984312</v>
      </c>
      <c r="E28" s="5">
        <f>-'Costos operación mina'!$H$36-'Costos de operación proceso'!$D$12</f>
        <v>-88956.764804984312</v>
      </c>
      <c r="F28" s="5">
        <f>-'Costos operación mina'!$H$36-'Costos de operación proceso'!$D$12</f>
        <v>-88956.764804984312</v>
      </c>
      <c r="G28" s="5">
        <f>-'Costos operación mina'!$H$36-'Costos de operación proceso'!$D$12</f>
        <v>-88956.764804984312</v>
      </c>
      <c r="H28" s="5">
        <f>-'Costos operación mina'!$H$36-'Costos de operación proceso'!$D$12</f>
        <v>-88956.764804984312</v>
      </c>
      <c r="I28" s="5">
        <f>-'Costos operación mina'!$H$36-'Costos de operación proceso'!$D$12</f>
        <v>-88956.764804984312</v>
      </c>
      <c r="J28" s="5">
        <f>-'Costos operación mina'!$H$36-'Costos de operación proceso'!$D$12</f>
        <v>-88956.764804984312</v>
      </c>
      <c r="K28" s="5">
        <f>-'Costos operación mina'!$H$36-'Costos de operación proceso'!$D$12</f>
        <v>-88956.764804984312</v>
      </c>
      <c r="L28" s="5">
        <f>-'Costos operación mina'!$H$36-'Costos de operación proceso'!$D$12</f>
        <v>-88956.764804984312</v>
      </c>
      <c r="M28" s="5">
        <f>-'Costos operación mina'!$H$36-'Costos de operación proceso'!$D$12</f>
        <v>-88956.764804984312</v>
      </c>
      <c r="N28" s="5">
        <f>-'Costos operación mina'!$H$36-'Costos de operación proceso'!$D$12</f>
        <v>-88956.764804984312</v>
      </c>
      <c r="O28" s="5">
        <f>-'Costos operación mina'!$H$36-'Costos de operación proceso'!$D$12</f>
        <v>-88956.764804984312</v>
      </c>
      <c r="P28" s="5">
        <f>-'Costos operación mina'!$H$36-'Costos de operación proceso'!$D$12</f>
        <v>-88956.764804984312</v>
      </c>
      <c r="Q28" s="5">
        <f>-'Costos operación mina'!$H$36-'Costos de operación proceso'!$D$12</f>
        <v>-88956.764804984312</v>
      </c>
      <c r="R28" s="5">
        <f>-'Costos operación mina'!$H$36-'Costos de operación proceso'!$D$12</f>
        <v>-88956.764804984312</v>
      </c>
      <c r="S28" s="5">
        <f>-'Costos operación mina'!$H$36-'Costos de operación proceso'!$D$12</f>
        <v>-88956.764804984312</v>
      </c>
      <c r="T28" s="5">
        <f>-'Costos operación mina'!$H$36-'Costos de operación proceso'!$D$12</f>
        <v>-88956.764804984312</v>
      </c>
      <c r="U28" s="5">
        <f>-'Costos operación mina'!$H$36-'Costos de operación proceso'!$D$12</f>
        <v>-88956.764804984312</v>
      </c>
      <c r="V28" s="5">
        <f>-'Costos operación mina'!$H$36-'Costos de operación proceso'!$D$12</f>
        <v>-88956.764804984312</v>
      </c>
      <c r="W28" s="5">
        <f>-'Costos operación mina'!$H$36-'Costos de operación proceso'!$D$12</f>
        <v>-88956.764804984312</v>
      </c>
      <c r="X28" s="5">
        <f>-'Costos operación mina'!$H$36-'Costos de operación proceso'!$D$12</f>
        <v>-88956.764804984312</v>
      </c>
      <c r="Y28" s="5">
        <f>-'Costos operación mina'!$H$36-'Costos de operación proceso'!$D$12</f>
        <v>-88956.764804984312</v>
      </c>
      <c r="Z28" s="5">
        <f>-'Costos operación mina'!$H$36-'Costos de operación proceso'!$D$12</f>
        <v>-88956.764804984312</v>
      </c>
      <c r="AA28" s="5">
        <f>-'Costos operación mina'!$H$36-'Costos de operación proceso'!$D$12</f>
        <v>-88956.764804984312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2:41" x14ac:dyDescent="0.25">
      <c r="B29" s="47" t="s">
        <v>99</v>
      </c>
      <c r="C29" s="5"/>
      <c r="D29" s="5"/>
      <c r="E29" s="5">
        <f t="shared" ref="E29:AA29" si="18">+E9</f>
        <v>-919.54022988505744</v>
      </c>
      <c r="F29" s="5">
        <f t="shared" si="18"/>
        <v>-9195.4022988505749</v>
      </c>
      <c r="G29" s="5">
        <f t="shared" si="18"/>
        <v>-919.54022988505744</v>
      </c>
      <c r="H29" s="5">
        <f t="shared" si="18"/>
        <v>0</v>
      </c>
      <c r="I29" s="5">
        <f t="shared" si="18"/>
        <v>-3839.0804597701153</v>
      </c>
      <c r="J29" s="5">
        <f t="shared" si="18"/>
        <v>0</v>
      </c>
      <c r="K29" s="5">
        <f t="shared" si="18"/>
        <v>-919.54022988505744</v>
      </c>
      <c r="L29" s="5">
        <f t="shared" si="18"/>
        <v>0</v>
      </c>
      <c r="M29" s="5">
        <f t="shared" si="18"/>
        <v>-919.54022988505744</v>
      </c>
      <c r="N29" s="5">
        <f t="shared" si="18"/>
        <v>-2919.5402298850577</v>
      </c>
      <c r="O29" s="5">
        <f t="shared" si="18"/>
        <v>-919.54022988505744</v>
      </c>
      <c r="P29" s="5">
        <f t="shared" si="18"/>
        <v>0</v>
      </c>
      <c r="Q29" s="5">
        <f t="shared" si="18"/>
        <v>-941.17647058823525</v>
      </c>
      <c r="R29" s="5">
        <f t="shared" si="18"/>
        <v>-9411.7647058823532</v>
      </c>
      <c r="S29" s="5">
        <f t="shared" si="18"/>
        <v>-941.17647058823525</v>
      </c>
      <c r="T29" s="5">
        <f t="shared" si="18"/>
        <v>-2988.2352941176468</v>
      </c>
      <c r="U29" s="5">
        <f t="shared" si="18"/>
        <v>-941.17647058823525</v>
      </c>
      <c r="V29" s="5">
        <f t="shared" si="18"/>
        <v>0</v>
      </c>
      <c r="W29" s="5">
        <f t="shared" si="18"/>
        <v>-941.17647058823525</v>
      </c>
      <c r="X29" s="5">
        <f t="shared" si="18"/>
        <v>0</v>
      </c>
      <c r="Y29" s="5">
        <f t="shared" si="18"/>
        <v>-941.17647058823525</v>
      </c>
      <c r="Z29" s="5">
        <f t="shared" si="18"/>
        <v>-2988.2352941176468</v>
      </c>
      <c r="AA29" s="5">
        <f t="shared" si="18"/>
        <v>-941.17647058823525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2:41" ht="30" x14ac:dyDescent="0.25">
      <c r="B30" s="48" t="s">
        <v>132</v>
      </c>
      <c r="C30" s="5"/>
      <c r="D30" s="5">
        <f>+D10</f>
        <v>-75</v>
      </c>
      <c r="E30" s="5">
        <f t="shared" ref="E30:AA30" si="19">+E10</f>
        <v>-75</v>
      </c>
      <c r="F30" s="5">
        <f t="shared" si="19"/>
        <v>-75</v>
      </c>
      <c r="G30" s="5">
        <f t="shared" si="19"/>
        <v>-75</v>
      </c>
      <c r="H30" s="5">
        <f t="shared" si="19"/>
        <v>-75</v>
      </c>
      <c r="I30" s="5">
        <f t="shared" si="19"/>
        <v>-75</v>
      </c>
      <c r="J30" s="5">
        <f t="shared" si="19"/>
        <v>-75</v>
      </c>
      <c r="K30" s="5">
        <f t="shared" si="19"/>
        <v>-75</v>
      </c>
      <c r="L30" s="5">
        <f t="shared" si="19"/>
        <v>-75</v>
      </c>
      <c r="M30" s="5">
        <f t="shared" si="19"/>
        <v>-75</v>
      </c>
      <c r="N30" s="5">
        <f t="shared" si="19"/>
        <v>-75</v>
      </c>
      <c r="O30" s="5">
        <f t="shared" si="19"/>
        <v>-75</v>
      </c>
      <c r="P30" s="5">
        <f t="shared" si="19"/>
        <v>-75</v>
      </c>
      <c r="Q30" s="5">
        <f t="shared" si="19"/>
        <v>-75</v>
      </c>
      <c r="R30" s="5">
        <f t="shared" si="19"/>
        <v>-75</v>
      </c>
      <c r="S30" s="5">
        <f t="shared" si="19"/>
        <v>-75</v>
      </c>
      <c r="T30" s="5">
        <f t="shared" si="19"/>
        <v>-75</v>
      </c>
      <c r="U30" s="5">
        <f t="shared" si="19"/>
        <v>-75</v>
      </c>
      <c r="V30" s="5">
        <f t="shared" si="19"/>
        <v>-75</v>
      </c>
      <c r="W30" s="5">
        <f t="shared" si="19"/>
        <v>-75</v>
      </c>
      <c r="X30" s="5">
        <f t="shared" si="19"/>
        <v>-75</v>
      </c>
      <c r="Y30" s="5">
        <f t="shared" si="19"/>
        <v>-75</v>
      </c>
      <c r="Z30" s="5">
        <f t="shared" si="19"/>
        <v>-75</v>
      </c>
      <c r="AA30" s="5">
        <f t="shared" si="19"/>
        <v>-75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2:41" x14ac:dyDescent="0.25">
      <c r="B31" s="46" t="s">
        <v>129</v>
      </c>
      <c r="C31" s="5"/>
      <c r="D31" s="5">
        <f t="shared" ref="D31:AA31" si="20">+SUM(D26:D30)</f>
        <v>96055.10832001573</v>
      </c>
      <c r="E31" s="5">
        <f t="shared" si="20"/>
        <v>95135.568090130677</v>
      </c>
      <c r="F31" s="5">
        <f t="shared" si="20"/>
        <v>86859.706021165155</v>
      </c>
      <c r="G31" s="5">
        <f t="shared" si="20"/>
        <v>95135.568090130677</v>
      </c>
      <c r="H31" s="5">
        <f t="shared" si="20"/>
        <v>96055.10832001573</v>
      </c>
      <c r="I31" s="5">
        <f t="shared" si="20"/>
        <v>92216.027860245609</v>
      </c>
      <c r="J31" s="5">
        <f t="shared" si="20"/>
        <v>96055.10832001573</v>
      </c>
      <c r="K31" s="5">
        <f t="shared" si="20"/>
        <v>95135.568090130677</v>
      </c>
      <c r="L31" s="5">
        <f t="shared" si="20"/>
        <v>96055.10832001573</v>
      </c>
      <c r="M31" s="5">
        <f t="shared" si="20"/>
        <v>95135.568090130677</v>
      </c>
      <c r="N31" s="5">
        <f t="shared" si="20"/>
        <v>93135.568090130677</v>
      </c>
      <c r="O31" s="5">
        <f t="shared" si="20"/>
        <v>95135.568090130677</v>
      </c>
      <c r="P31" s="5">
        <f t="shared" si="20"/>
        <v>116001.81394501573</v>
      </c>
      <c r="Q31" s="5">
        <f t="shared" si="20"/>
        <v>115060.63747442749</v>
      </c>
      <c r="R31" s="5">
        <f t="shared" si="20"/>
        <v>106590.04923913338</v>
      </c>
      <c r="S31" s="5">
        <f t="shared" si="20"/>
        <v>115060.63747442749</v>
      </c>
      <c r="T31" s="5">
        <f t="shared" si="20"/>
        <v>113013.57865089808</v>
      </c>
      <c r="U31" s="5">
        <f t="shared" si="20"/>
        <v>115060.63747442749</v>
      </c>
      <c r="V31" s="5">
        <f t="shared" si="20"/>
        <v>116001.81394501573</v>
      </c>
      <c r="W31" s="5">
        <f t="shared" si="20"/>
        <v>115060.63747442749</v>
      </c>
      <c r="X31" s="5">
        <f t="shared" si="20"/>
        <v>116001.81394501573</v>
      </c>
      <c r="Y31" s="5">
        <f t="shared" si="20"/>
        <v>115060.63747442749</v>
      </c>
      <c r="Z31" s="5">
        <f t="shared" si="20"/>
        <v>113013.57865089808</v>
      </c>
      <c r="AA31" s="5">
        <f t="shared" si="20"/>
        <v>115060.63747442749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2:41" x14ac:dyDescent="0.25">
      <c r="B32" s="46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2:41" x14ac:dyDescent="0.25">
      <c r="B33" s="46" t="s">
        <v>128</v>
      </c>
      <c r="C33" s="5"/>
      <c r="D33" s="5">
        <f>D31*$L$2</f>
        <v>18250.47058080299</v>
      </c>
      <c r="E33" s="5">
        <f t="shared" ref="E33:AA33" si="21">E31*$L$2</f>
        <v>18075.757937124828</v>
      </c>
      <c r="F33" s="5">
        <f t="shared" si="21"/>
        <v>16503.344144021379</v>
      </c>
      <c r="G33" s="5">
        <f t="shared" si="21"/>
        <v>18075.757937124828</v>
      </c>
      <c r="H33" s="5">
        <f t="shared" si="21"/>
        <v>18250.47058080299</v>
      </c>
      <c r="I33" s="5">
        <f t="shared" si="21"/>
        <v>17521.045293446667</v>
      </c>
      <c r="J33" s="5">
        <f t="shared" si="21"/>
        <v>18250.47058080299</v>
      </c>
      <c r="K33" s="5">
        <f t="shared" si="21"/>
        <v>18075.757937124828</v>
      </c>
      <c r="L33" s="5">
        <f t="shared" si="21"/>
        <v>18250.47058080299</v>
      </c>
      <c r="M33" s="5">
        <f t="shared" si="21"/>
        <v>18075.757937124828</v>
      </c>
      <c r="N33" s="5">
        <f t="shared" si="21"/>
        <v>17695.757937124828</v>
      </c>
      <c r="O33" s="5">
        <f t="shared" si="21"/>
        <v>18075.757937124828</v>
      </c>
      <c r="P33" s="5">
        <f t="shared" si="21"/>
        <v>22040.34464955299</v>
      </c>
      <c r="Q33" s="5">
        <f t="shared" si="21"/>
        <v>21861.521120141224</v>
      </c>
      <c r="R33" s="5">
        <f t="shared" si="21"/>
        <v>20252.109355435343</v>
      </c>
      <c r="S33" s="5">
        <f t="shared" si="21"/>
        <v>21861.521120141224</v>
      </c>
      <c r="T33" s="5">
        <f t="shared" si="21"/>
        <v>21472.579943670637</v>
      </c>
      <c r="U33" s="5">
        <f t="shared" si="21"/>
        <v>21861.521120141224</v>
      </c>
      <c r="V33" s="5">
        <f t="shared" si="21"/>
        <v>22040.34464955299</v>
      </c>
      <c r="W33" s="5">
        <f t="shared" si="21"/>
        <v>21861.521120141224</v>
      </c>
      <c r="X33" s="5">
        <f t="shared" si="21"/>
        <v>22040.34464955299</v>
      </c>
      <c r="Y33" s="5">
        <f t="shared" si="21"/>
        <v>21861.521120141224</v>
      </c>
      <c r="Z33" s="5">
        <f t="shared" si="21"/>
        <v>21472.579943670637</v>
      </c>
      <c r="AA33" s="5">
        <f t="shared" si="21"/>
        <v>21861.521120141224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2:41" x14ac:dyDescent="0.25">
      <c r="B34" s="46" t="s">
        <v>130</v>
      </c>
      <c r="C34" s="5"/>
      <c r="D34" s="5">
        <f>D31-D33</f>
        <v>77804.637739212747</v>
      </c>
      <c r="E34" s="5">
        <f t="shared" ref="E34:O34" si="22">E31-E33</f>
        <v>77059.810153005848</v>
      </c>
      <c r="F34" s="5">
        <f t="shared" si="22"/>
        <v>70356.361877143776</v>
      </c>
      <c r="G34" s="5">
        <f t="shared" si="22"/>
        <v>77059.810153005848</v>
      </c>
      <c r="H34" s="5">
        <f t="shared" si="22"/>
        <v>77804.637739212747</v>
      </c>
      <c r="I34" s="5">
        <f t="shared" si="22"/>
        <v>74694.98256679895</v>
      </c>
      <c r="J34" s="5">
        <f t="shared" si="22"/>
        <v>77804.637739212747</v>
      </c>
      <c r="K34" s="5">
        <f t="shared" si="22"/>
        <v>77059.810153005848</v>
      </c>
      <c r="L34" s="5">
        <f t="shared" si="22"/>
        <v>77804.637739212747</v>
      </c>
      <c r="M34" s="5">
        <f t="shared" si="22"/>
        <v>77059.810153005848</v>
      </c>
      <c r="N34" s="5">
        <f t="shared" si="22"/>
        <v>75439.810153005848</v>
      </c>
      <c r="O34" s="5">
        <f t="shared" si="22"/>
        <v>77059.810153005848</v>
      </c>
      <c r="P34" s="5">
        <f t="shared" ref="P34" si="23">P31-P33</f>
        <v>93961.469295462739</v>
      </c>
      <c r="Q34" s="5">
        <f t="shared" ref="Q34" si="24">Q31-Q33</f>
        <v>93199.116354286263</v>
      </c>
      <c r="R34" s="5">
        <f t="shared" ref="R34" si="25">R31-R33</f>
        <v>86337.93988369804</v>
      </c>
      <c r="S34" s="5">
        <f t="shared" ref="S34" si="26">S31-S33</f>
        <v>93199.116354286263</v>
      </c>
      <c r="T34" s="5">
        <f t="shared" ref="T34" si="27">T31-T33</f>
        <v>91540.998707227438</v>
      </c>
      <c r="U34" s="5">
        <f t="shared" ref="U34" si="28">U31-U33</f>
        <v>93199.116354286263</v>
      </c>
      <c r="V34" s="5">
        <f t="shared" ref="V34" si="29">V31-V33</f>
        <v>93961.469295462739</v>
      </c>
      <c r="W34" s="5">
        <f t="shared" ref="W34" si="30">W31-W33</f>
        <v>93199.116354286263</v>
      </c>
      <c r="X34" s="5">
        <f t="shared" ref="X34" si="31">X31-X33</f>
        <v>93961.469295462739</v>
      </c>
      <c r="Y34" s="5">
        <f t="shared" ref="Y34" si="32">Y31-Y33</f>
        <v>93199.116354286263</v>
      </c>
      <c r="Z34" s="5">
        <f t="shared" ref="Z34" si="33">Z31-Z33</f>
        <v>91540.998707227438</v>
      </c>
      <c r="AA34" s="5">
        <f t="shared" ref="AA34" si="34">AA31-AA33</f>
        <v>93199.116354286263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2:41" x14ac:dyDescent="0.25">
      <c r="B35" s="46" t="s">
        <v>124</v>
      </c>
      <c r="C35" s="5"/>
      <c r="D35" s="5">
        <v>75</v>
      </c>
      <c r="E35" s="5">
        <v>75</v>
      </c>
      <c r="F35" s="5">
        <v>75</v>
      </c>
      <c r="G35" s="5">
        <v>75</v>
      </c>
      <c r="H35" s="5">
        <v>75</v>
      </c>
      <c r="I35" s="5">
        <v>75</v>
      </c>
      <c r="J35" s="5">
        <v>75</v>
      </c>
      <c r="K35" s="5">
        <v>75</v>
      </c>
      <c r="L35" s="5">
        <v>75</v>
      </c>
      <c r="M35" s="5">
        <v>75</v>
      </c>
      <c r="N35" s="5">
        <v>75</v>
      </c>
      <c r="O35" s="5">
        <v>75</v>
      </c>
      <c r="P35" s="5">
        <v>75</v>
      </c>
      <c r="Q35" s="5">
        <v>75</v>
      </c>
      <c r="R35" s="5">
        <v>75</v>
      </c>
      <c r="S35" s="5">
        <v>75</v>
      </c>
      <c r="T35" s="5">
        <v>75</v>
      </c>
      <c r="U35" s="5">
        <v>75</v>
      </c>
      <c r="V35" s="5">
        <v>75</v>
      </c>
      <c r="W35" s="5">
        <v>75</v>
      </c>
      <c r="X35" s="5">
        <v>75</v>
      </c>
      <c r="Y35" s="5">
        <v>75</v>
      </c>
      <c r="Z35" s="5">
        <v>75</v>
      </c>
      <c r="AA35" s="5">
        <v>75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2:41" x14ac:dyDescent="0.25">
      <c r="B36" s="46" t="s">
        <v>125</v>
      </c>
      <c r="C36" s="5">
        <f>-'Inversión mina'!G25</f>
        <v>-240054.67816091955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2:41" x14ac:dyDescent="0.25">
      <c r="B37" s="48" t="s">
        <v>150</v>
      </c>
      <c r="C37" s="5"/>
      <c r="D37" s="5">
        <f t="shared" ref="D37:K37" si="35">+D17</f>
        <v>-20593.854250200002</v>
      </c>
      <c r="E37" s="5">
        <f t="shared" si="35"/>
        <v>-20593.854250200002</v>
      </c>
      <c r="F37" s="5">
        <f t="shared" si="35"/>
        <v>-20593.854250200002</v>
      </c>
      <c r="G37" s="5">
        <f t="shared" si="35"/>
        <v>-20593.854250200002</v>
      </c>
      <c r="H37" s="5">
        <f t="shared" si="35"/>
        <v>-20593.854250200002</v>
      </c>
      <c r="I37" s="5">
        <f t="shared" si="35"/>
        <v>-20593.854250200002</v>
      </c>
      <c r="J37" s="5">
        <f t="shared" si="35"/>
        <v>-20593.854250200002</v>
      </c>
      <c r="K37" s="5">
        <f t="shared" si="35"/>
        <v>-5843</v>
      </c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2:41" x14ac:dyDescent="0.25">
      <c r="B38" s="46" t="s">
        <v>126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2:41" x14ac:dyDescent="0.25">
      <c r="B39" s="46" t="s">
        <v>127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2:41" x14ac:dyDescent="0.25">
      <c r="B40" s="46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2:41" x14ac:dyDescent="0.25">
      <c r="B41" s="11" t="s">
        <v>131</v>
      </c>
      <c r="C41" s="10">
        <f>+SUM(C34:C39)</f>
        <v>-240054.67816091955</v>
      </c>
      <c r="D41" s="10">
        <f t="shared" ref="D41:AA41" si="36">+SUM(D34:D39)</f>
        <v>57285.783489012741</v>
      </c>
      <c r="E41" s="10">
        <f t="shared" si="36"/>
        <v>56540.955902805843</v>
      </c>
      <c r="F41" s="10">
        <f t="shared" si="36"/>
        <v>49837.50762694377</v>
      </c>
      <c r="G41" s="10">
        <f t="shared" si="36"/>
        <v>56540.955902805843</v>
      </c>
      <c r="H41" s="10">
        <f t="shared" si="36"/>
        <v>57285.783489012741</v>
      </c>
      <c r="I41" s="10">
        <f t="shared" si="36"/>
        <v>54176.128316598944</v>
      </c>
      <c r="J41" s="10">
        <f t="shared" si="36"/>
        <v>57285.783489012741</v>
      </c>
      <c r="K41" s="10">
        <f t="shared" si="36"/>
        <v>71291.810153005848</v>
      </c>
      <c r="L41" s="10">
        <f t="shared" si="36"/>
        <v>77879.637739212747</v>
      </c>
      <c r="M41" s="10">
        <f t="shared" si="36"/>
        <v>77134.810153005848</v>
      </c>
      <c r="N41" s="10">
        <f t="shared" si="36"/>
        <v>75514.810153005848</v>
      </c>
      <c r="O41" s="10">
        <f t="shared" si="36"/>
        <v>77134.810153005848</v>
      </c>
      <c r="P41" s="10">
        <f t="shared" si="36"/>
        <v>94036.469295462739</v>
      </c>
      <c r="Q41" s="10">
        <f t="shared" si="36"/>
        <v>93274.116354286263</v>
      </c>
      <c r="R41" s="10">
        <f t="shared" si="36"/>
        <v>86412.93988369804</v>
      </c>
      <c r="S41" s="10">
        <f t="shared" si="36"/>
        <v>93274.116354286263</v>
      </c>
      <c r="T41" s="10">
        <f t="shared" si="36"/>
        <v>91615.998707227438</v>
      </c>
      <c r="U41" s="10">
        <f t="shared" si="36"/>
        <v>93274.116354286263</v>
      </c>
      <c r="V41" s="10">
        <f t="shared" si="36"/>
        <v>94036.469295462739</v>
      </c>
      <c r="W41" s="10">
        <f t="shared" si="36"/>
        <v>93274.116354286263</v>
      </c>
      <c r="X41" s="10">
        <f t="shared" si="36"/>
        <v>94036.469295462739</v>
      </c>
      <c r="Y41" s="10">
        <f t="shared" si="36"/>
        <v>93274.116354286263</v>
      </c>
      <c r="Z41" s="10">
        <f t="shared" si="36"/>
        <v>91615.998707227438</v>
      </c>
      <c r="AA41" s="10">
        <f t="shared" si="36"/>
        <v>93274.116354286263</v>
      </c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2"/>
      <c r="AO41" s="2"/>
    </row>
    <row r="42" spans="2:41" x14ac:dyDescent="0.25">
      <c r="B42" s="75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2"/>
      <c r="AO42" s="2"/>
    </row>
    <row r="43" spans="2:41" x14ac:dyDescent="0.25"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2:41" x14ac:dyDescent="0.25">
      <c r="B44" s="1" t="s">
        <v>136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2:41" x14ac:dyDescent="0.25">
      <c r="B45" s="4"/>
      <c r="C45" s="4">
        <v>0</v>
      </c>
      <c r="D45" s="45">
        <v>44927</v>
      </c>
      <c r="E45" s="45">
        <v>44958</v>
      </c>
      <c r="F45" s="45">
        <v>44986</v>
      </c>
      <c r="G45" s="45">
        <v>45017</v>
      </c>
      <c r="H45" s="45">
        <v>45047</v>
      </c>
      <c r="I45" s="45">
        <v>45078</v>
      </c>
      <c r="J45" s="45">
        <v>45108</v>
      </c>
      <c r="K45" s="45">
        <v>45139</v>
      </c>
      <c r="L45" s="45">
        <v>45170</v>
      </c>
      <c r="M45" s="45">
        <v>45200</v>
      </c>
      <c r="N45" s="45">
        <v>45231</v>
      </c>
      <c r="O45" s="45">
        <v>45261</v>
      </c>
      <c r="P45" s="45">
        <v>45292</v>
      </c>
      <c r="Q45" s="45">
        <v>45323</v>
      </c>
      <c r="R45" s="45">
        <v>45352</v>
      </c>
      <c r="S45" s="45">
        <v>45383</v>
      </c>
      <c r="T45" s="45">
        <v>45413</v>
      </c>
      <c r="U45" s="45">
        <v>45444</v>
      </c>
      <c r="V45" s="45">
        <v>45474</v>
      </c>
      <c r="W45" s="45">
        <v>45505</v>
      </c>
      <c r="X45" s="45">
        <v>45536</v>
      </c>
      <c r="Y45" s="45">
        <v>45566</v>
      </c>
      <c r="Z45" s="45">
        <v>45597</v>
      </c>
      <c r="AA45" s="45">
        <v>45627</v>
      </c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2"/>
      <c r="AO45" s="2"/>
    </row>
    <row r="46" spans="2:41" x14ac:dyDescent="0.25">
      <c r="B46" s="4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2:41" x14ac:dyDescent="0.25">
      <c r="B47" s="46" t="s">
        <v>122</v>
      </c>
      <c r="C47" s="5"/>
      <c r="D47" s="5">
        <f>+Ingresos!$D$20</f>
        <v>207851.56875000001</v>
      </c>
      <c r="E47" s="5">
        <f>+Ingresos!$D$20</f>
        <v>207851.56875000001</v>
      </c>
      <c r="F47" s="5">
        <f>+Ingresos!$D$20</f>
        <v>207851.56875000001</v>
      </c>
      <c r="G47" s="5">
        <f>+Ingresos!$D$20</f>
        <v>207851.56875000001</v>
      </c>
      <c r="H47" s="5">
        <f>+Ingresos!$D$20</f>
        <v>207851.56875000001</v>
      </c>
      <c r="I47" s="5">
        <f>+Ingresos!$D$20</f>
        <v>207851.56875000001</v>
      </c>
      <c r="J47" s="5">
        <f>+Ingresos!$D$20</f>
        <v>207851.56875000001</v>
      </c>
      <c r="K47" s="5">
        <f>+Ingresos!$D$20</f>
        <v>207851.56875000001</v>
      </c>
      <c r="L47" s="5">
        <f>+Ingresos!$D$20</f>
        <v>207851.56875000001</v>
      </c>
      <c r="M47" s="5">
        <f>+Ingresos!$D$20</f>
        <v>207851.56875000001</v>
      </c>
      <c r="N47" s="5">
        <f>+Ingresos!$D$20</f>
        <v>207851.56875000001</v>
      </c>
      <c r="O47" s="5">
        <f>+Ingresos!$D$20</f>
        <v>207851.56875000001</v>
      </c>
      <c r="P47" s="5">
        <f>+Ingresos!$D$26</f>
        <v>230251.61250000002</v>
      </c>
      <c r="Q47" s="5">
        <f>+Ingresos!$D$26</f>
        <v>230251.61250000002</v>
      </c>
      <c r="R47" s="5">
        <f>+Ingresos!$D$26</f>
        <v>230251.61250000002</v>
      </c>
      <c r="S47" s="5">
        <f>+Ingresos!$D$26</f>
        <v>230251.61250000002</v>
      </c>
      <c r="T47" s="5">
        <f>+Ingresos!$D$26</f>
        <v>230251.61250000002</v>
      </c>
      <c r="U47" s="5">
        <f>+Ingresos!$D$26</f>
        <v>230251.61250000002</v>
      </c>
      <c r="V47" s="5">
        <f>+Ingresos!$D$26</f>
        <v>230251.61250000002</v>
      </c>
      <c r="W47" s="5">
        <f>+Ingresos!$D$26</f>
        <v>230251.61250000002</v>
      </c>
      <c r="X47" s="5">
        <f>+Ingresos!$D$26</f>
        <v>230251.61250000002</v>
      </c>
      <c r="Y47" s="5">
        <f>+Ingresos!$D$26</f>
        <v>230251.61250000002</v>
      </c>
      <c r="Z47" s="5">
        <f>+Ingresos!$D$26</f>
        <v>230251.61250000002</v>
      </c>
      <c r="AA47" s="5">
        <f>+Ingresos!$D$26</f>
        <v>230251.61250000002</v>
      </c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2:41" x14ac:dyDescent="0.25">
      <c r="B48" s="46" t="s">
        <v>123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2:41" x14ac:dyDescent="0.25">
      <c r="B49" s="47" t="s">
        <v>100</v>
      </c>
      <c r="C49" s="5"/>
      <c r="D49" s="5">
        <f>-'Costos operación mina'!$H$36-'Costos de operación proceso'!$D$13</f>
        <v>-79536.454326329724</v>
      </c>
      <c r="E49" s="5">
        <f>-'Costos operación mina'!$H$36-'Costos de operación proceso'!$D$13</f>
        <v>-79536.454326329724</v>
      </c>
      <c r="F49" s="5">
        <f>-'Costos operación mina'!$H$36-'Costos de operación proceso'!$D$13</f>
        <v>-79536.454326329724</v>
      </c>
      <c r="G49" s="5">
        <f>-'Costos operación mina'!$H$36-'Costos de operación proceso'!$D$13</f>
        <v>-79536.454326329724</v>
      </c>
      <c r="H49" s="5">
        <f>-'Costos operación mina'!$H$36-'Costos de operación proceso'!$D$13</f>
        <v>-79536.454326329724</v>
      </c>
      <c r="I49" s="5">
        <f>-'Costos operación mina'!$H$36-'Costos de operación proceso'!$D$13</f>
        <v>-79536.454326329724</v>
      </c>
      <c r="J49" s="5">
        <f>-'Costos operación mina'!$H$36-'Costos de operación proceso'!$D$13</f>
        <v>-79536.454326329724</v>
      </c>
      <c r="K49" s="5">
        <f>-'Costos operación mina'!$H$36-'Costos de operación proceso'!$D$13</f>
        <v>-79536.454326329724</v>
      </c>
      <c r="L49" s="5">
        <f>-'Costos operación mina'!$H$36-'Costos de operación proceso'!$D$13</f>
        <v>-79536.454326329724</v>
      </c>
      <c r="M49" s="5">
        <f>-'Costos operación mina'!$H$36-'Costos de operación proceso'!$D$13</f>
        <v>-79536.454326329724</v>
      </c>
      <c r="N49" s="5">
        <f>-'Costos operación mina'!$H$36-'Costos de operación proceso'!$D$13</f>
        <v>-79536.454326329724</v>
      </c>
      <c r="O49" s="5">
        <f>-'Costos operación mina'!$H$36-'Costos de operación proceso'!$D$13</f>
        <v>-79536.454326329724</v>
      </c>
      <c r="P49" s="5">
        <f>-'Costos operación mina'!$H$36-'Costos de operación proceso'!$D$13</f>
        <v>-79536.454326329724</v>
      </c>
      <c r="Q49" s="5">
        <f>-'Costos operación mina'!$H$36-'Costos de operación proceso'!$D$13</f>
        <v>-79536.454326329724</v>
      </c>
      <c r="R49" s="5">
        <f>-'Costos operación mina'!$H$36-'Costos de operación proceso'!$D$13</f>
        <v>-79536.454326329724</v>
      </c>
      <c r="S49" s="5">
        <f>-'Costos operación mina'!$H$36-'Costos de operación proceso'!$D$13</f>
        <v>-79536.454326329724</v>
      </c>
      <c r="T49" s="5">
        <f>-'Costos operación mina'!$H$36-'Costos de operación proceso'!$D$13</f>
        <v>-79536.454326329724</v>
      </c>
      <c r="U49" s="5">
        <f>-'Costos operación mina'!$H$36-'Costos de operación proceso'!$D$13</f>
        <v>-79536.454326329724</v>
      </c>
      <c r="V49" s="5">
        <f>-'Costos operación mina'!$H$36-'Costos de operación proceso'!$D$13</f>
        <v>-79536.454326329724</v>
      </c>
      <c r="W49" s="5">
        <f>-'Costos operación mina'!$H$36-'Costos de operación proceso'!$D$13</f>
        <v>-79536.454326329724</v>
      </c>
      <c r="X49" s="5">
        <f>-'Costos operación mina'!$H$36-'Costos de operación proceso'!$D$13</f>
        <v>-79536.454326329724</v>
      </c>
      <c r="Y49" s="5">
        <f>-'Costos operación mina'!$H$36-'Costos de operación proceso'!$D$13</f>
        <v>-79536.454326329724</v>
      </c>
      <c r="Z49" s="5">
        <f>-'Costos operación mina'!$H$36-'Costos de operación proceso'!$D$13</f>
        <v>-79536.454326329724</v>
      </c>
      <c r="AA49" s="5">
        <f>-'Costos operación mina'!$H$36-'Costos de operación proceso'!$D$13</f>
        <v>-79536.454326329724</v>
      </c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2:41" x14ac:dyDescent="0.25">
      <c r="B50" s="47" t="s">
        <v>99</v>
      </c>
      <c r="C50" s="5"/>
      <c r="D50" s="5"/>
      <c r="E50" s="5">
        <f t="shared" ref="E50:AA50" si="37">+E29</f>
        <v>-919.54022988505744</v>
      </c>
      <c r="F50" s="5">
        <f t="shared" si="37"/>
        <v>-9195.4022988505749</v>
      </c>
      <c r="G50" s="5">
        <f t="shared" si="37"/>
        <v>-919.54022988505744</v>
      </c>
      <c r="H50" s="5">
        <f t="shared" si="37"/>
        <v>0</v>
      </c>
      <c r="I50" s="5">
        <f t="shared" si="37"/>
        <v>-3839.0804597701153</v>
      </c>
      <c r="J50" s="5">
        <f t="shared" si="37"/>
        <v>0</v>
      </c>
      <c r="K50" s="5">
        <f t="shared" si="37"/>
        <v>-919.54022988505744</v>
      </c>
      <c r="L50" s="5">
        <f t="shared" si="37"/>
        <v>0</v>
      </c>
      <c r="M50" s="5">
        <f t="shared" si="37"/>
        <v>-919.54022988505744</v>
      </c>
      <c r="N50" s="5">
        <f t="shared" si="37"/>
        <v>-2919.5402298850577</v>
      </c>
      <c r="O50" s="5">
        <f t="shared" si="37"/>
        <v>-919.54022988505744</v>
      </c>
      <c r="P50" s="5">
        <f t="shared" si="37"/>
        <v>0</v>
      </c>
      <c r="Q50" s="5">
        <f t="shared" si="37"/>
        <v>-941.17647058823525</v>
      </c>
      <c r="R50" s="5">
        <f t="shared" si="37"/>
        <v>-9411.7647058823532</v>
      </c>
      <c r="S50" s="5">
        <f t="shared" si="37"/>
        <v>-941.17647058823525</v>
      </c>
      <c r="T50" s="5">
        <f t="shared" si="37"/>
        <v>-2988.2352941176468</v>
      </c>
      <c r="U50" s="5">
        <f t="shared" si="37"/>
        <v>-941.17647058823525</v>
      </c>
      <c r="V50" s="5">
        <f t="shared" si="37"/>
        <v>0</v>
      </c>
      <c r="W50" s="5">
        <f t="shared" si="37"/>
        <v>-941.17647058823525</v>
      </c>
      <c r="X50" s="5">
        <f t="shared" si="37"/>
        <v>0</v>
      </c>
      <c r="Y50" s="5">
        <f t="shared" si="37"/>
        <v>-941.17647058823525</v>
      </c>
      <c r="Z50" s="5">
        <f t="shared" si="37"/>
        <v>-2988.2352941176468</v>
      </c>
      <c r="AA50" s="5">
        <f t="shared" si="37"/>
        <v>-941.17647058823525</v>
      </c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2:41" ht="30" x14ac:dyDescent="0.25">
      <c r="B51" s="48" t="s">
        <v>132</v>
      </c>
      <c r="C51" s="5"/>
      <c r="D51" s="5">
        <f>+D30</f>
        <v>-75</v>
      </c>
      <c r="E51" s="5">
        <f t="shared" ref="E51:AA51" si="38">+E30</f>
        <v>-75</v>
      </c>
      <c r="F51" s="5">
        <f t="shared" si="38"/>
        <v>-75</v>
      </c>
      <c r="G51" s="5">
        <f t="shared" si="38"/>
        <v>-75</v>
      </c>
      <c r="H51" s="5">
        <f t="shared" si="38"/>
        <v>-75</v>
      </c>
      <c r="I51" s="5">
        <f t="shared" si="38"/>
        <v>-75</v>
      </c>
      <c r="J51" s="5">
        <f t="shared" si="38"/>
        <v>-75</v>
      </c>
      <c r="K51" s="5">
        <f t="shared" si="38"/>
        <v>-75</v>
      </c>
      <c r="L51" s="5">
        <f t="shared" si="38"/>
        <v>-75</v>
      </c>
      <c r="M51" s="5">
        <f t="shared" si="38"/>
        <v>-75</v>
      </c>
      <c r="N51" s="5">
        <f t="shared" si="38"/>
        <v>-75</v>
      </c>
      <c r="O51" s="5">
        <f t="shared" si="38"/>
        <v>-75</v>
      </c>
      <c r="P51" s="5">
        <f t="shared" si="38"/>
        <v>-75</v>
      </c>
      <c r="Q51" s="5">
        <f t="shared" si="38"/>
        <v>-75</v>
      </c>
      <c r="R51" s="5">
        <f t="shared" si="38"/>
        <v>-75</v>
      </c>
      <c r="S51" s="5">
        <f t="shared" si="38"/>
        <v>-75</v>
      </c>
      <c r="T51" s="5">
        <f t="shared" si="38"/>
        <v>-75</v>
      </c>
      <c r="U51" s="5">
        <f t="shared" si="38"/>
        <v>-75</v>
      </c>
      <c r="V51" s="5">
        <f t="shared" si="38"/>
        <v>-75</v>
      </c>
      <c r="W51" s="5">
        <f t="shared" si="38"/>
        <v>-75</v>
      </c>
      <c r="X51" s="5">
        <f t="shared" si="38"/>
        <v>-75</v>
      </c>
      <c r="Y51" s="5">
        <f t="shared" si="38"/>
        <v>-75</v>
      </c>
      <c r="Z51" s="5">
        <f t="shared" si="38"/>
        <v>-75</v>
      </c>
      <c r="AA51" s="5">
        <f t="shared" si="38"/>
        <v>-75</v>
      </c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2:41" x14ac:dyDescent="0.25">
      <c r="B52" s="46" t="s">
        <v>129</v>
      </c>
      <c r="C52" s="5"/>
      <c r="D52" s="5">
        <f t="shared" ref="D52:AA52" si="39">SUM(D47:D51)</f>
        <v>128240.11442367028</v>
      </c>
      <c r="E52" s="5">
        <f t="shared" si="39"/>
        <v>127320.57419378523</v>
      </c>
      <c r="F52" s="5">
        <f t="shared" si="39"/>
        <v>119044.71212481971</v>
      </c>
      <c r="G52" s="5">
        <f t="shared" si="39"/>
        <v>127320.57419378523</v>
      </c>
      <c r="H52" s="5">
        <f t="shared" si="39"/>
        <v>128240.11442367028</v>
      </c>
      <c r="I52" s="5">
        <f t="shared" si="39"/>
        <v>124401.03396390016</v>
      </c>
      <c r="J52" s="5">
        <f t="shared" si="39"/>
        <v>128240.11442367028</v>
      </c>
      <c r="K52" s="5">
        <f t="shared" si="39"/>
        <v>127320.57419378523</v>
      </c>
      <c r="L52" s="5">
        <f t="shared" si="39"/>
        <v>128240.11442367028</v>
      </c>
      <c r="M52" s="5">
        <f t="shared" si="39"/>
        <v>127320.57419378523</v>
      </c>
      <c r="N52" s="5">
        <f t="shared" si="39"/>
        <v>125320.57419378523</v>
      </c>
      <c r="O52" s="5">
        <f t="shared" si="39"/>
        <v>127320.57419378523</v>
      </c>
      <c r="P52" s="5">
        <f t="shared" si="39"/>
        <v>150640.15817367029</v>
      </c>
      <c r="Q52" s="5">
        <f t="shared" si="39"/>
        <v>149698.98170308207</v>
      </c>
      <c r="R52" s="5">
        <f t="shared" si="39"/>
        <v>141228.39346778794</v>
      </c>
      <c r="S52" s="5">
        <f t="shared" si="39"/>
        <v>149698.98170308207</v>
      </c>
      <c r="T52" s="5">
        <f t="shared" si="39"/>
        <v>147651.92287955264</v>
      </c>
      <c r="U52" s="5">
        <f t="shared" si="39"/>
        <v>149698.98170308207</v>
      </c>
      <c r="V52" s="5">
        <f t="shared" si="39"/>
        <v>150640.15817367029</v>
      </c>
      <c r="W52" s="5">
        <f t="shared" si="39"/>
        <v>149698.98170308207</v>
      </c>
      <c r="X52" s="5">
        <f t="shared" si="39"/>
        <v>150640.15817367029</v>
      </c>
      <c r="Y52" s="5">
        <f t="shared" si="39"/>
        <v>149698.98170308207</v>
      </c>
      <c r="Z52" s="5">
        <f t="shared" si="39"/>
        <v>147651.92287955264</v>
      </c>
      <c r="AA52" s="5">
        <f t="shared" si="39"/>
        <v>149698.98170308207</v>
      </c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</row>
    <row r="53" spans="2:41" x14ac:dyDescent="0.25">
      <c r="B53" s="46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</row>
    <row r="54" spans="2:41" x14ac:dyDescent="0.25">
      <c r="B54" s="46" t="s">
        <v>128</v>
      </c>
      <c r="C54" s="5"/>
      <c r="D54" s="5">
        <f>D52*$L$2</f>
        <v>24365.621740497354</v>
      </c>
      <c r="E54" s="5">
        <f t="shared" ref="E54:AA54" si="40">E52*$L$2</f>
        <v>24190.909096819192</v>
      </c>
      <c r="F54" s="5">
        <f t="shared" si="40"/>
        <v>22618.495303715743</v>
      </c>
      <c r="G54" s="5">
        <f t="shared" si="40"/>
        <v>24190.909096819192</v>
      </c>
      <c r="H54" s="5">
        <f t="shared" si="40"/>
        <v>24365.621740497354</v>
      </c>
      <c r="I54" s="5">
        <f t="shared" si="40"/>
        <v>23636.19645314103</v>
      </c>
      <c r="J54" s="5">
        <f t="shared" si="40"/>
        <v>24365.621740497354</v>
      </c>
      <c r="K54" s="5">
        <f t="shared" si="40"/>
        <v>24190.909096819192</v>
      </c>
      <c r="L54" s="5">
        <f t="shared" si="40"/>
        <v>24365.621740497354</v>
      </c>
      <c r="M54" s="5">
        <f t="shared" si="40"/>
        <v>24190.909096819192</v>
      </c>
      <c r="N54" s="5">
        <f t="shared" si="40"/>
        <v>23810.909096819192</v>
      </c>
      <c r="O54" s="5">
        <f t="shared" si="40"/>
        <v>24190.909096819192</v>
      </c>
      <c r="P54" s="5">
        <f t="shared" si="40"/>
        <v>28621.630052997356</v>
      </c>
      <c r="Q54" s="5">
        <f t="shared" si="40"/>
        <v>28442.806523585594</v>
      </c>
      <c r="R54" s="5">
        <f t="shared" si="40"/>
        <v>26833.394758879709</v>
      </c>
      <c r="S54" s="5">
        <f t="shared" si="40"/>
        <v>28442.806523585594</v>
      </c>
      <c r="T54" s="5">
        <f t="shared" si="40"/>
        <v>28053.865347115003</v>
      </c>
      <c r="U54" s="5">
        <f t="shared" si="40"/>
        <v>28442.806523585594</v>
      </c>
      <c r="V54" s="5">
        <f t="shared" si="40"/>
        <v>28621.630052997356</v>
      </c>
      <c r="W54" s="5">
        <f t="shared" si="40"/>
        <v>28442.806523585594</v>
      </c>
      <c r="X54" s="5">
        <f t="shared" si="40"/>
        <v>28621.630052997356</v>
      </c>
      <c r="Y54" s="5">
        <f t="shared" si="40"/>
        <v>28442.806523585594</v>
      </c>
      <c r="Z54" s="5">
        <f t="shared" si="40"/>
        <v>28053.865347115003</v>
      </c>
      <c r="AA54" s="5">
        <f t="shared" si="40"/>
        <v>28442.806523585594</v>
      </c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</row>
    <row r="55" spans="2:41" x14ac:dyDescent="0.25">
      <c r="B55" s="46" t="s">
        <v>130</v>
      </c>
      <c r="C55" s="5"/>
      <c r="D55" s="5">
        <f>D52-D54</f>
        <v>103874.49268317292</v>
      </c>
      <c r="E55" s="5">
        <f t="shared" ref="E55:O55" si="41">E52-E54</f>
        <v>103129.66509696604</v>
      </c>
      <c r="F55" s="5">
        <f t="shared" si="41"/>
        <v>96426.216821103968</v>
      </c>
      <c r="G55" s="5">
        <f t="shared" si="41"/>
        <v>103129.66509696604</v>
      </c>
      <c r="H55" s="5">
        <f t="shared" si="41"/>
        <v>103874.49268317292</v>
      </c>
      <c r="I55" s="5">
        <f t="shared" si="41"/>
        <v>100764.83751075913</v>
      </c>
      <c r="J55" s="5">
        <f t="shared" si="41"/>
        <v>103874.49268317292</v>
      </c>
      <c r="K55" s="5">
        <f t="shared" si="41"/>
        <v>103129.66509696604</v>
      </c>
      <c r="L55" s="5">
        <f t="shared" si="41"/>
        <v>103874.49268317292</v>
      </c>
      <c r="M55" s="5">
        <f t="shared" si="41"/>
        <v>103129.66509696604</v>
      </c>
      <c r="N55" s="5">
        <f t="shared" si="41"/>
        <v>101509.66509696604</v>
      </c>
      <c r="O55" s="5">
        <f t="shared" si="41"/>
        <v>103129.66509696604</v>
      </c>
      <c r="P55" s="5">
        <f t="shared" ref="P55" si="42">P52-P54</f>
        <v>122018.52812067294</v>
      </c>
      <c r="Q55" s="5">
        <f t="shared" ref="Q55" si="43">Q52-Q54</f>
        <v>121256.17517949648</v>
      </c>
      <c r="R55" s="5">
        <f t="shared" ref="R55" si="44">R52-R54</f>
        <v>114394.99870890824</v>
      </c>
      <c r="S55" s="5">
        <f t="shared" ref="S55" si="45">S52-S54</f>
        <v>121256.17517949648</v>
      </c>
      <c r="T55" s="5">
        <f t="shared" ref="T55" si="46">T52-T54</f>
        <v>119598.05753243764</v>
      </c>
      <c r="U55" s="5">
        <f t="shared" ref="U55" si="47">U52-U54</f>
        <v>121256.17517949648</v>
      </c>
      <c r="V55" s="5">
        <f t="shared" ref="V55" si="48">V52-V54</f>
        <v>122018.52812067294</v>
      </c>
      <c r="W55" s="5">
        <f t="shared" ref="W55" si="49">W52-W54</f>
        <v>121256.17517949648</v>
      </c>
      <c r="X55" s="5">
        <f t="shared" ref="X55" si="50">X52-X54</f>
        <v>122018.52812067294</v>
      </c>
      <c r="Y55" s="5">
        <f t="shared" ref="Y55" si="51">Y52-Y54</f>
        <v>121256.17517949648</v>
      </c>
      <c r="Z55" s="5">
        <f t="shared" ref="Z55" si="52">Z52-Z54</f>
        <v>119598.05753243764</v>
      </c>
      <c r="AA55" s="5">
        <f t="shared" ref="AA55" si="53">AA52-AA54</f>
        <v>121256.17517949648</v>
      </c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</row>
    <row r="56" spans="2:41" x14ac:dyDescent="0.25">
      <c r="B56" s="46" t="s">
        <v>124</v>
      </c>
      <c r="C56" s="5"/>
      <c r="D56" s="5">
        <f t="shared" ref="D56:AA56" si="54">+D35</f>
        <v>75</v>
      </c>
      <c r="E56" s="5">
        <f t="shared" si="54"/>
        <v>75</v>
      </c>
      <c r="F56" s="5">
        <f t="shared" si="54"/>
        <v>75</v>
      </c>
      <c r="G56" s="5">
        <f t="shared" si="54"/>
        <v>75</v>
      </c>
      <c r="H56" s="5">
        <f t="shared" si="54"/>
        <v>75</v>
      </c>
      <c r="I56" s="5">
        <f t="shared" si="54"/>
        <v>75</v>
      </c>
      <c r="J56" s="5">
        <f t="shared" si="54"/>
        <v>75</v>
      </c>
      <c r="K56" s="5">
        <f t="shared" si="54"/>
        <v>75</v>
      </c>
      <c r="L56" s="5">
        <f t="shared" si="54"/>
        <v>75</v>
      </c>
      <c r="M56" s="5">
        <f t="shared" si="54"/>
        <v>75</v>
      </c>
      <c r="N56" s="5">
        <f t="shared" si="54"/>
        <v>75</v>
      </c>
      <c r="O56" s="5">
        <f t="shared" si="54"/>
        <v>75</v>
      </c>
      <c r="P56" s="5">
        <f t="shared" si="54"/>
        <v>75</v>
      </c>
      <c r="Q56" s="5">
        <f t="shared" si="54"/>
        <v>75</v>
      </c>
      <c r="R56" s="5">
        <f t="shared" si="54"/>
        <v>75</v>
      </c>
      <c r="S56" s="5">
        <f t="shared" si="54"/>
        <v>75</v>
      </c>
      <c r="T56" s="5">
        <f t="shared" si="54"/>
        <v>75</v>
      </c>
      <c r="U56" s="5">
        <f t="shared" si="54"/>
        <v>75</v>
      </c>
      <c r="V56" s="5">
        <f t="shared" si="54"/>
        <v>75</v>
      </c>
      <c r="W56" s="5">
        <f t="shared" si="54"/>
        <v>75</v>
      </c>
      <c r="X56" s="5">
        <f t="shared" si="54"/>
        <v>75</v>
      </c>
      <c r="Y56" s="5">
        <f t="shared" si="54"/>
        <v>75</v>
      </c>
      <c r="Z56" s="5">
        <f t="shared" si="54"/>
        <v>75</v>
      </c>
      <c r="AA56" s="5">
        <f t="shared" si="54"/>
        <v>75</v>
      </c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</row>
    <row r="57" spans="2:41" x14ac:dyDescent="0.25">
      <c r="B57" s="46" t="s">
        <v>125</v>
      </c>
      <c r="C57" s="5">
        <f>-'Inversión mina'!G25</f>
        <v>-240054.67816091955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</row>
    <row r="58" spans="2:41" x14ac:dyDescent="0.25">
      <c r="B58" s="48" t="s">
        <v>150</v>
      </c>
      <c r="C58" s="5"/>
      <c r="D58" s="5">
        <f t="shared" ref="D58:K58" si="55">+D37</f>
        <v>-20593.854250200002</v>
      </c>
      <c r="E58" s="5">
        <f t="shared" si="55"/>
        <v>-20593.854250200002</v>
      </c>
      <c r="F58" s="5">
        <f t="shared" si="55"/>
        <v>-20593.854250200002</v>
      </c>
      <c r="G58" s="5">
        <f t="shared" si="55"/>
        <v>-20593.854250200002</v>
      </c>
      <c r="H58" s="5">
        <f t="shared" si="55"/>
        <v>-20593.854250200002</v>
      </c>
      <c r="I58" s="5">
        <f t="shared" si="55"/>
        <v>-20593.854250200002</v>
      </c>
      <c r="J58" s="5">
        <f t="shared" si="55"/>
        <v>-20593.854250200002</v>
      </c>
      <c r="K58" s="5">
        <f t="shared" si="55"/>
        <v>-5843</v>
      </c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</row>
    <row r="59" spans="2:41" x14ac:dyDescent="0.25">
      <c r="B59" s="46" t="s">
        <v>126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spans="2:41" x14ac:dyDescent="0.25">
      <c r="B60" s="46" t="s">
        <v>127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spans="2:41" x14ac:dyDescent="0.25">
      <c r="B61" s="46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spans="2:41" x14ac:dyDescent="0.25">
      <c r="B62" s="11" t="s">
        <v>131</v>
      </c>
      <c r="C62" s="10">
        <f>SUM(C55:C60)</f>
        <v>-240054.67816091955</v>
      </c>
      <c r="D62" s="10">
        <f t="shared" ref="D62:AA62" si="56">SUM(D55:D60)</f>
        <v>83355.638432972919</v>
      </c>
      <c r="E62" s="10">
        <f t="shared" si="56"/>
        <v>82610.810846766035</v>
      </c>
      <c r="F62" s="10">
        <f t="shared" si="56"/>
        <v>75907.362570903962</v>
      </c>
      <c r="G62" s="10">
        <f t="shared" si="56"/>
        <v>82610.810846766035</v>
      </c>
      <c r="H62" s="10">
        <f t="shared" si="56"/>
        <v>83355.638432972919</v>
      </c>
      <c r="I62" s="10">
        <f t="shared" si="56"/>
        <v>80245.983260559122</v>
      </c>
      <c r="J62" s="10">
        <f t="shared" si="56"/>
        <v>83355.638432972919</v>
      </c>
      <c r="K62" s="10">
        <f t="shared" si="56"/>
        <v>97361.66509696604</v>
      </c>
      <c r="L62" s="10">
        <f t="shared" si="56"/>
        <v>103949.49268317292</v>
      </c>
      <c r="M62" s="10">
        <f t="shared" si="56"/>
        <v>103204.66509696604</v>
      </c>
      <c r="N62" s="10">
        <f t="shared" si="56"/>
        <v>101584.66509696604</v>
      </c>
      <c r="O62" s="10">
        <f t="shared" si="56"/>
        <v>103204.66509696604</v>
      </c>
      <c r="P62" s="10">
        <f t="shared" si="56"/>
        <v>122093.52812067294</v>
      </c>
      <c r="Q62" s="10">
        <f t="shared" si="56"/>
        <v>121331.17517949648</v>
      </c>
      <c r="R62" s="10">
        <f t="shared" si="56"/>
        <v>114469.99870890824</v>
      </c>
      <c r="S62" s="10">
        <f t="shared" si="56"/>
        <v>121331.17517949648</v>
      </c>
      <c r="T62" s="10">
        <f t="shared" si="56"/>
        <v>119673.05753243764</v>
      </c>
      <c r="U62" s="10">
        <f t="shared" si="56"/>
        <v>121331.17517949648</v>
      </c>
      <c r="V62" s="10">
        <f t="shared" si="56"/>
        <v>122093.52812067294</v>
      </c>
      <c r="W62" s="10">
        <f t="shared" si="56"/>
        <v>121331.17517949648</v>
      </c>
      <c r="X62" s="10">
        <f t="shared" si="56"/>
        <v>122093.52812067294</v>
      </c>
      <c r="Y62" s="10">
        <f t="shared" si="56"/>
        <v>121331.17517949648</v>
      </c>
      <c r="Z62" s="10">
        <f t="shared" si="56"/>
        <v>119673.05753243764</v>
      </c>
      <c r="AA62" s="10">
        <f t="shared" si="56"/>
        <v>121331.17517949648</v>
      </c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</row>
    <row r="64" spans="2:41" x14ac:dyDescent="0.25">
      <c r="B64" s="1" t="s">
        <v>155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2:27" x14ac:dyDescent="0.25">
      <c r="B65" s="4"/>
      <c r="C65" s="4">
        <v>0</v>
      </c>
      <c r="D65" s="45">
        <v>44927</v>
      </c>
      <c r="E65" s="45">
        <v>44958</v>
      </c>
      <c r="F65" s="45">
        <v>44986</v>
      </c>
      <c r="G65" s="45">
        <v>45017</v>
      </c>
      <c r="H65" s="45">
        <v>45047</v>
      </c>
      <c r="I65" s="45">
        <v>45078</v>
      </c>
      <c r="J65" s="45">
        <v>45108</v>
      </c>
      <c r="K65" s="45">
        <v>45139</v>
      </c>
      <c r="L65" s="45">
        <v>45170</v>
      </c>
      <c r="M65" s="45">
        <v>45200</v>
      </c>
      <c r="N65" s="45">
        <v>45231</v>
      </c>
      <c r="O65" s="45">
        <v>45261</v>
      </c>
      <c r="P65" s="45">
        <v>45292</v>
      </c>
      <c r="Q65" s="45">
        <v>45323</v>
      </c>
      <c r="R65" s="45">
        <v>45352</v>
      </c>
      <c r="S65" s="45">
        <v>45383</v>
      </c>
      <c r="T65" s="45">
        <v>45413</v>
      </c>
      <c r="U65" s="45">
        <v>45444</v>
      </c>
      <c r="V65" s="45">
        <v>45474</v>
      </c>
      <c r="W65" s="45">
        <v>45505</v>
      </c>
      <c r="X65" s="45">
        <v>45536</v>
      </c>
      <c r="Y65" s="45">
        <v>45566</v>
      </c>
      <c r="Z65" s="45">
        <v>45597</v>
      </c>
      <c r="AA65" s="45">
        <v>45627</v>
      </c>
    </row>
    <row r="66" spans="2:27" x14ac:dyDescent="0.25">
      <c r="B66" s="4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spans="2:27" x14ac:dyDescent="0.25">
      <c r="B67" s="46" t="s">
        <v>122</v>
      </c>
      <c r="C67" s="5"/>
      <c r="D67" s="5">
        <f>+Ingresos!$F$21</f>
        <v>63345.240000000005</v>
      </c>
      <c r="E67" s="5">
        <f>+Ingresos!$F$21</f>
        <v>63345.240000000005</v>
      </c>
      <c r="F67" s="5">
        <f>+Ingresos!$F$21</f>
        <v>63345.240000000005</v>
      </c>
      <c r="G67" s="5">
        <f>+Ingresos!$F$21</f>
        <v>63345.240000000005</v>
      </c>
      <c r="H67" s="5">
        <f>+Ingresos!$F$21</f>
        <v>63345.240000000005</v>
      </c>
      <c r="I67" s="5">
        <f>+Ingresos!$F$21</f>
        <v>63345.240000000005</v>
      </c>
      <c r="J67" s="5">
        <f>+Ingresos!$F$21</f>
        <v>63345.240000000005</v>
      </c>
      <c r="K67" s="5">
        <f>+Ingresos!$F$21</f>
        <v>63345.240000000005</v>
      </c>
      <c r="L67" s="5">
        <f>+Ingresos!$F$21</f>
        <v>63345.240000000005</v>
      </c>
      <c r="M67" s="5">
        <f>+Ingresos!$F$21</f>
        <v>63345.240000000005</v>
      </c>
      <c r="N67" s="5">
        <f>+Ingresos!$F$21</f>
        <v>63345.240000000005</v>
      </c>
      <c r="O67" s="5">
        <f>+Ingresos!$F$21</f>
        <v>63345.240000000005</v>
      </c>
      <c r="P67" s="5">
        <f>+Ingresos!$F$27</f>
        <v>70171.92</v>
      </c>
      <c r="Q67" s="5">
        <f>+Ingresos!$F$27</f>
        <v>70171.92</v>
      </c>
      <c r="R67" s="5">
        <f>+Ingresos!$F$27</f>
        <v>70171.92</v>
      </c>
      <c r="S67" s="5">
        <f>+Ingresos!$F$27</f>
        <v>70171.92</v>
      </c>
      <c r="T67" s="5">
        <f>+Ingresos!$F$27</f>
        <v>70171.92</v>
      </c>
      <c r="U67" s="5">
        <f>+Ingresos!$F$27</f>
        <v>70171.92</v>
      </c>
      <c r="V67" s="5">
        <f>+Ingresos!$F$27</f>
        <v>70171.92</v>
      </c>
      <c r="W67" s="5">
        <f>+Ingresos!$F$27</f>
        <v>70171.92</v>
      </c>
      <c r="X67" s="5">
        <f>+Ingresos!$F$27</f>
        <v>70171.92</v>
      </c>
      <c r="Y67" s="5">
        <f>+Ingresos!$F$27</f>
        <v>70171.92</v>
      </c>
      <c r="Z67" s="5">
        <f>+Ingresos!$F$27</f>
        <v>70171.92</v>
      </c>
      <c r="AA67" s="5">
        <f>+Ingresos!$F$27</f>
        <v>70171.92</v>
      </c>
    </row>
    <row r="68" spans="2:27" x14ac:dyDescent="0.25">
      <c r="B68" s="46" t="s">
        <v>123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spans="2:27" x14ac:dyDescent="0.25">
      <c r="B69" s="47" t="s">
        <v>100</v>
      </c>
      <c r="C69" s="5"/>
      <c r="D69" s="5">
        <f>-'Costos operación mina'!$H$36-'Costos de operación proceso'!$D$14</f>
        <v>-60695.833369020533</v>
      </c>
      <c r="E69" s="5">
        <f>-'Costos operación mina'!$H$36-'Costos de operación proceso'!$D$14</f>
        <v>-60695.833369020533</v>
      </c>
      <c r="F69" s="5">
        <f>-'Costos operación mina'!$H$36-'Costos de operación proceso'!$D$14</f>
        <v>-60695.833369020533</v>
      </c>
      <c r="G69" s="5">
        <f>-'Costos operación mina'!$H$36-'Costos de operación proceso'!$D$14</f>
        <v>-60695.833369020533</v>
      </c>
      <c r="H69" s="5">
        <f>-'Costos operación mina'!$H$36-'Costos de operación proceso'!$D$14</f>
        <v>-60695.833369020533</v>
      </c>
      <c r="I69" s="5">
        <f>-'Costos operación mina'!$H$36-'Costos de operación proceso'!$D$14</f>
        <v>-60695.833369020533</v>
      </c>
      <c r="J69" s="5">
        <f>-'Costos operación mina'!$H$36-'Costos de operación proceso'!$D$14</f>
        <v>-60695.833369020533</v>
      </c>
      <c r="K69" s="5">
        <f>-'Costos operación mina'!$H$36-'Costos de operación proceso'!$D$14</f>
        <v>-60695.833369020533</v>
      </c>
      <c r="L69" s="5">
        <f>-'Costos operación mina'!$H$36-'Costos de operación proceso'!$D$14</f>
        <v>-60695.833369020533</v>
      </c>
      <c r="M69" s="5">
        <f>-'Costos operación mina'!$H$36-'Costos de operación proceso'!$D$14</f>
        <v>-60695.833369020533</v>
      </c>
      <c r="N69" s="5">
        <f>-'Costos operación mina'!$H$36-'Costos de operación proceso'!$D$14</f>
        <v>-60695.833369020533</v>
      </c>
      <c r="O69" s="5">
        <f>-'Costos operación mina'!$H$36-'Costos de operación proceso'!$D$14</f>
        <v>-60695.833369020533</v>
      </c>
      <c r="P69" s="5">
        <f>-'Costos operación mina'!$H$36-'Costos de operación proceso'!$D$14</f>
        <v>-60695.833369020533</v>
      </c>
      <c r="Q69" s="5">
        <f>-'Costos operación mina'!$H$36-'Costos de operación proceso'!$D$14</f>
        <v>-60695.833369020533</v>
      </c>
      <c r="R69" s="5">
        <f>-'Costos operación mina'!$H$36-'Costos de operación proceso'!$D$14</f>
        <v>-60695.833369020533</v>
      </c>
      <c r="S69" s="5">
        <f>-'Costos operación mina'!$H$36-'Costos de operación proceso'!$D$14</f>
        <v>-60695.833369020533</v>
      </c>
      <c r="T69" s="5">
        <f>-'Costos operación mina'!$H$36-'Costos de operación proceso'!$D$14</f>
        <v>-60695.833369020533</v>
      </c>
      <c r="U69" s="5">
        <f>-'Costos operación mina'!$H$36-'Costos de operación proceso'!$D$14</f>
        <v>-60695.833369020533</v>
      </c>
      <c r="V69" s="5">
        <f>-'Costos operación mina'!$H$36-'Costos de operación proceso'!$D$14</f>
        <v>-60695.833369020533</v>
      </c>
      <c r="W69" s="5">
        <f>-'Costos operación mina'!$H$36-'Costos de operación proceso'!$D$14</f>
        <v>-60695.833369020533</v>
      </c>
      <c r="X69" s="5">
        <f>-'Costos operación mina'!$H$36-'Costos de operación proceso'!$D$14</f>
        <v>-60695.833369020533</v>
      </c>
      <c r="Y69" s="5">
        <f>-'Costos operación mina'!$H$36-'Costos de operación proceso'!$D$14</f>
        <v>-60695.833369020533</v>
      </c>
      <c r="Z69" s="5">
        <f>-'Costos operación mina'!$H$36-'Costos de operación proceso'!$D$14</f>
        <v>-60695.833369020533</v>
      </c>
      <c r="AA69" s="5">
        <f>-'Costos operación mina'!$H$36-'Costos de operación proceso'!$D$14</f>
        <v>-60695.833369020533</v>
      </c>
    </row>
    <row r="70" spans="2:27" x14ac:dyDescent="0.25">
      <c r="B70" s="47" t="s">
        <v>99</v>
      </c>
      <c r="C70" s="5"/>
      <c r="D70" s="5"/>
      <c r="E70" s="5">
        <f t="shared" ref="E70:AA70" si="57">+E50</f>
        <v>-919.54022988505744</v>
      </c>
      <c r="F70" s="5">
        <f t="shared" si="57"/>
        <v>-9195.4022988505749</v>
      </c>
      <c r="G70" s="5">
        <f t="shared" si="57"/>
        <v>-919.54022988505744</v>
      </c>
      <c r="H70" s="5">
        <f t="shared" si="57"/>
        <v>0</v>
      </c>
      <c r="I70" s="5">
        <f t="shared" si="57"/>
        <v>-3839.0804597701153</v>
      </c>
      <c r="J70" s="5">
        <f t="shared" si="57"/>
        <v>0</v>
      </c>
      <c r="K70" s="5">
        <f t="shared" si="57"/>
        <v>-919.54022988505744</v>
      </c>
      <c r="L70" s="5">
        <f t="shared" si="57"/>
        <v>0</v>
      </c>
      <c r="M70" s="5">
        <f t="shared" si="57"/>
        <v>-919.54022988505744</v>
      </c>
      <c r="N70" s="5">
        <f t="shared" si="57"/>
        <v>-2919.5402298850577</v>
      </c>
      <c r="O70" s="5">
        <f t="shared" si="57"/>
        <v>-919.54022988505744</v>
      </c>
      <c r="P70" s="5">
        <f t="shared" si="57"/>
        <v>0</v>
      </c>
      <c r="Q70" s="5">
        <f t="shared" si="57"/>
        <v>-941.17647058823525</v>
      </c>
      <c r="R70" s="5">
        <f t="shared" si="57"/>
        <v>-9411.7647058823532</v>
      </c>
      <c r="S70" s="5">
        <f t="shared" si="57"/>
        <v>-941.17647058823525</v>
      </c>
      <c r="T70" s="5">
        <f t="shared" si="57"/>
        <v>-2988.2352941176468</v>
      </c>
      <c r="U70" s="5">
        <f t="shared" si="57"/>
        <v>-941.17647058823525</v>
      </c>
      <c r="V70" s="5">
        <f t="shared" si="57"/>
        <v>0</v>
      </c>
      <c r="W70" s="5">
        <f t="shared" si="57"/>
        <v>-941.17647058823525</v>
      </c>
      <c r="X70" s="5">
        <f t="shared" si="57"/>
        <v>0</v>
      </c>
      <c r="Y70" s="5">
        <f t="shared" si="57"/>
        <v>-941.17647058823525</v>
      </c>
      <c r="Z70" s="5">
        <f t="shared" si="57"/>
        <v>-2988.2352941176468</v>
      </c>
      <c r="AA70" s="5">
        <f t="shared" si="57"/>
        <v>-941.17647058823525</v>
      </c>
    </row>
    <row r="71" spans="2:27" ht="30" x14ac:dyDescent="0.25">
      <c r="B71" s="48" t="s">
        <v>132</v>
      </c>
      <c r="C71" s="5"/>
      <c r="D71" s="5">
        <f>+D51</f>
        <v>-75</v>
      </c>
      <c r="E71" s="5">
        <f t="shared" ref="E71:AA71" si="58">+E51</f>
        <v>-75</v>
      </c>
      <c r="F71" s="5">
        <f t="shared" si="58"/>
        <v>-75</v>
      </c>
      <c r="G71" s="5">
        <f t="shared" si="58"/>
        <v>-75</v>
      </c>
      <c r="H71" s="5">
        <f t="shared" si="58"/>
        <v>-75</v>
      </c>
      <c r="I71" s="5">
        <f t="shared" si="58"/>
        <v>-75</v>
      </c>
      <c r="J71" s="5">
        <f t="shared" si="58"/>
        <v>-75</v>
      </c>
      <c r="K71" s="5">
        <f t="shared" si="58"/>
        <v>-75</v>
      </c>
      <c r="L71" s="5">
        <f t="shared" si="58"/>
        <v>-75</v>
      </c>
      <c r="M71" s="5">
        <f t="shared" si="58"/>
        <v>-75</v>
      </c>
      <c r="N71" s="5">
        <f t="shared" si="58"/>
        <v>-75</v>
      </c>
      <c r="O71" s="5">
        <f t="shared" si="58"/>
        <v>-75</v>
      </c>
      <c r="P71" s="5">
        <f t="shared" si="58"/>
        <v>-75</v>
      </c>
      <c r="Q71" s="5">
        <f t="shared" si="58"/>
        <v>-75</v>
      </c>
      <c r="R71" s="5">
        <f t="shared" si="58"/>
        <v>-75</v>
      </c>
      <c r="S71" s="5">
        <f t="shared" si="58"/>
        <v>-75</v>
      </c>
      <c r="T71" s="5">
        <f t="shared" si="58"/>
        <v>-75</v>
      </c>
      <c r="U71" s="5">
        <f t="shared" si="58"/>
        <v>-75</v>
      </c>
      <c r="V71" s="5">
        <f t="shared" si="58"/>
        <v>-75</v>
      </c>
      <c r="W71" s="5">
        <f t="shared" si="58"/>
        <v>-75</v>
      </c>
      <c r="X71" s="5">
        <f t="shared" si="58"/>
        <v>-75</v>
      </c>
      <c r="Y71" s="5">
        <f t="shared" si="58"/>
        <v>-75</v>
      </c>
      <c r="Z71" s="5">
        <f t="shared" si="58"/>
        <v>-75</v>
      </c>
      <c r="AA71" s="5">
        <f t="shared" si="58"/>
        <v>-75</v>
      </c>
    </row>
    <row r="72" spans="2:27" x14ac:dyDescent="0.25">
      <c r="B72" s="46" t="s">
        <v>129</v>
      </c>
      <c r="C72" s="5"/>
      <c r="D72" s="5">
        <f t="shared" ref="D72:AA72" si="59">SUM(D67:D71)</f>
        <v>2574.4066309794725</v>
      </c>
      <c r="E72" s="5">
        <f t="shared" si="59"/>
        <v>1654.8664010944151</v>
      </c>
      <c r="F72" s="5">
        <f t="shared" si="59"/>
        <v>-6620.9956678711023</v>
      </c>
      <c r="G72" s="5">
        <f t="shared" si="59"/>
        <v>1654.8664010944151</v>
      </c>
      <c r="H72" s="5">
        <f t="shared" si="59"/>
        <v>2574.4066309794725</v>
      </c>
      <c r="I72" s="5">
        <f t="shared" si="59"/>
        <v>-1264.6738287906428</v>
      </c>
      <c r="J72" s="5">
        <f t="shared" si="59"/>
        <v>2574.4066309794725</v>
      </c>
      <c r="K72" s="5">
        <f t="shared" si="59"/>
        <v>1654.8664010944151</v>
      </c>
      <c r="L72" s="5">
        <f t="shared" si="59"/>
        <v>2574.4066309794725</v>
      </c>
      <c r="M72" s="5">
        <f t="shared" si="59"/>
        <v>1654.8664010944151</v>
      </c>
      <c r="N72" s="5">
        <f t="shared" si="59"/>
        <v>-345.13359890558513</v>
      </c>
      <c r="O72" s="5">
        <f t="shared" si="59"/>
        <v>1654.8664010944151</v>
      </c>
      <c r="P72" s="5">
        <f t="shared" si="59"/>
        <v>9401.0866309794656</v>
      </c>
      <c r="Q72" s="5">
        <f t="shared" si="59"/>
        <v>8459.9101603912295</v>
      </c>
      <c r="R72" s="5">
        <f t="shared" si="59"/>
        <v>-10.678074902887602</v>
      </c>
      <c r="S72" s="5">
        <f t="shared" si="59"/>
        <v>8459.9101603912295</v>
      </c>
      <c r="T72" s="5">
        <f t="shared" si="59"/>
        <v>6412.8513368618187</v>
      </c>
      <c r="U72" s="5">
        <f t="shared" si="59"/>
        <v>8459.9101603912295</v>
      </c>
      <c r="V72" s="5">
        <f t="shared" si="59"/>
        <v>9401.0866309794656</v>
      </c>
      <c r="W72" s="5">
        <f t="shared" si="59"/>
        <v>8459.9101603912295</v>
      </c>
      <c r="X72" s="5">
        <f t="shared" si="59"/>
        <v>9401.0866309794656</v>
      </c>
      <c r="Y72" s="5">
        <f t="shared" si="59"/>
        <v>8459.9101603912295</v>
      </c>
      <c r="Z72" s="5">
        <f t="shared" si="59"/>
        <v>6412.8513368618187</v>
      </c>
      <c r="AA72" s="5">
        <f t="shared" si="59"/>
        <v>8459.9101603912295</v>
      </c>
    </row>
    <row r="73" spans="2:27" x14ac:dyDescent="0.25">
      <c r="B73" s="46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spans="2:27" x14ac:dyDescent="0.25">
      <c r="B74" s="46" t="s">
        <v>128</v>
      </c>
      <c r="C74" s="5"/>
      <c r="D74" s="5">
        <f>D72*$L$2</f>
        <v>489.1372598860998</v>
      </c>
      <c r="E74" s="5">
        <f t="shared" ref="E74:AA74" si="60">E72*$L$2</f>
        <v>314.42461620793887</v>
      </c>
      <c r="F74" s="5">
        <f t="shared" si="60"/>
        <v>-1257.9891768955094</v>
      </c>
      <c r="G74" s="5">
        <f t="shared" si="60"/>
        <v>314.42461620793887</v>
      </c>
      <c r="H74" s="5">
        <f t="shared" si="60"/>
        <v>489.1372598860998</v>
      </c>
      <c r="I74" s="5">
        <f t="shared" si="60"/>
        <v>-240.28802747022215</v>
      </c>
      <c r="J74" s="5">
        <f t="shared" si="60"/>
        <v>489.1372598860998</v>
      </c>
      <c r="K74" s="5">
        <f t="shared" si="60"/>
        <v>314.42461620793887</v>
      </c>
      <c r="L74" s="5">
        <f t="shared" si="60"/>
        <v>489.1372598860998</v>
      </c>
      <c r="M74" s="5">
        <f t="shared" si="60"/>
        <v>314.42461620793887</v>
      </c>
      <c r="N74" s="5">
        <f t="shared" si="60"/>
        <v>-65.575383792061174</v>
      </c>
      <c r="O74" s="5">
        <f t="shared" si="60"/>
        <v>314.42461620793887</v>
      </c>
      <c r="P74" s="5">
        <f t="shared" si="60"/>
        <v>1786.2064598860984</v>
      </c>
      <c r="Q74" s="5">
        <f t="shared" si="60"/>
        <v>1607.3829304743335</v>
      </c>
      <c r="R74" s="5">
        <f t="shared" si="60"/>
        <v>-2.0288342315486445</v>
      </c>
      <c r="S74" s="5">
        <f t="shared" si="60"/>
        <v>1607.3829304743335</v>
      </c>
      <c r="T74" s="5">
        <f t="shared" si="60"/>
        <v>1218.4417540037455</v>
      </c>
      <c r="U74" s="5">
        <f t="shared" si="60"/>
        <v>1607.3829304743335</v>
      </c>
      <c r="V74" s="5">
        <f t="shared" si="60"/>
        <v>1786.2064598860984</v>
      </c>
      <c r="W74" s="5">
        <f t="shared" si="60"/>
        <v>1607.3829304743335</v>
      </c>
      <c r="X74" s="5">
        <f t="shared" si="60"/>
        <v>1786.2064598860984</v>
      </c>
      <c r="Y74" s="5">
        <f t="shared" si="60"/>
        <v>1607.3829304743335</v>
      </c>
      <c r="Z74" s="5">
        <f t="shared" si="60"/>
        <v>1218.4417540037455</v>
      </c>
      <c r="AA74" s="5">
        <f t="shared" si="60"/>
        <v>1607.3829304743335</v>
      </c>
    </row>
    <row r="75" spans="2:27" x14ac:dyDescent="0.25">
      <c r="B75" s="46" t="s">
        <v>130</v>
      </c>
      <c r="C75" s="5"/>
      <c r="D75" s="5">
        <f>D72-D74</f>
        <v>2085.2693710933727</v>
      </c>
      <c r="E75" s="5">
        <f t="shared" ref="E75:AA75" si="61">E72-E74</f>
        <v>1340.4417848864762</v>
      </c>
      <c r="F75" s="5">
        <f t="shared" si="61"/>
        <v>-5363.0064909755929</v>
      </c>
      <c r="G75" s="5">
        <f t="shared" si="61"/>
        <v>1340.4417848864762</v>
      </c>
      <c r="H75" s="5">
        <f t="shared" si="61"/>
        <v>2085.2693710933727</v>
      </c>
      <c r="I75" s="5">
        <f t="shared" si="61"/>
        <v>-1024.3858013204206</v>
      </c>
      <c r="J75" s="5">
        <f t="shared" si="61"/>
        <v>2085.2693710933727</v>
      </c>
      <c r="K75" s="5">
        <f t="shared" si="61"/>
        <v>1340.4417848864762</v>
      </c>
      <c r="L75" s="5">
        <f t="shared" si="61"/>
        <v>2085.2693710933727</v>
      </c>
      <c r="M75" s="5">
        <f t="shared" si="61"/>
        <v>1340.4417848864762</v>
      </c>
      <c r="N75" s="5">
        <f t="shared" si="61"/>
        <v>-279.55821511352394</v>
      </c>
      <c r="O75" s="5">
        <f t="shared" si="61"/>
        <v>1340.4417848864762</v>
      </c>
      <c r="P75" s="5">
        <f t="shared" si="61"/>
        <v>7614.8801710933676</v>
      </c>
      <c r="Q75" s="5">
        <f t="shared" si="61"/>
        <v>6852.5272299168955</v>
      </c>
      <c r="R75" s="5">
        <f t="shared" si="61"/>
        <v>-8.6492406713389567</v>
      </c>
      <c r="S75" s="5">
        <f t="shared" si="61"/>
        <v>6852.5272299168955</v>
      </c>
      <c r="T75" s="5">
        <f t="shared" si="61"/>
        <v>5194.409582858073</v>
      </c>
      <c r="U75" s="5">
        <f t="shared" si="61"/>
        <v>6852.5272299168955</v>
      </c>
      <c r="V75" s="5">
        <f t="shared" si="61"/>
        <v>7614.8801710933676</v>
      </c>
      <c r="W75" s="5">
        <f t="shared" si="61"/>
        <v>6852.5272299168955</v>
      </c>
      <c r="X75" s="5">
        <f t="shared" si="61"/>
        <v>7614.8801710933676</v>
      </c>
      <c r="Y75" s="5">
        <f t="shared" si="61"/>
        <v>6852.5272299168955</v>
      </c>
      <c r="Z75" s="5">
        <f t="shared" si="61"/>
        <v>5194.409582858073</v>
      </c>
      <c r="AA75" s="5">
        <f t="shared" si="61"/>
        <v>6852.5272299168955</v>
      </c>
    </row>
    <row r="76" spans="2:27" x14ac:dyDescent="0.25">
      <c r="B76" s="46" t="s">
        <v>124</v>
      </c>
      <c r="C76" s="5"/>
      <c r="D76" s="5">
        <f t="shared" ref="D76:AA76" si="62">+D56</f>
        <v>75</v>
      </c>
      <c r="E76" s="5">
        <f t="shared" si="62"/>
        <v>75</v>
      </c>
      <c r="F76" s="5">
        <f t="shared" si="62"/>
        <v>75</v>
      </c>
      <c r="G76" s="5">
        <f t="shared" si="62"/>
        <v>75</v>
      </c>
      <c r="H76" s="5">
        <f t="shared" si="62"/>
        <v>75</v>
      </c>
      <c r="I76" s="5">
        <f t="shared" si="62"/>
        <v>75</v>
      </c>
      <c r="J76" s="5">
        <f t="shared" si="62"/>
        <v>75</v>
      </c>
      <c r="K76" s="5">
        <f t="shared" si="62"/>
        <v>75</v>
      </c>
      <c r="L76" s="5">
        <f t="shared" si="62"/>
        <v>75</v>
      </c>
      <c r="M76" s="5">
        <f t="shared" si="62"/>
        <v>75</v>
      </c>
      <c r="N76" s="5">
        <f t="shared" si="62"/>
        <v>75</v>
      </c>
      <c r="O76" s="5">
        <f t="shared" si="62"/>
        <v>75</v>
      </c>
      <c r="P76" s="5">
        <f t="shared" si="62"/>
        <v>75</v>
      </c>
      <c r="Q76" s="5">
        <f t="shared" si="62"/>
        <v>75</v>
      </c>
      <c r="R76" s="5">
        <f t="shared" si="62"/>
        <v>75</v>
      </c>
      <c r="S76" s="5">
        <f t="shared" si="62"/>
        <v>75</v>
      </c>
      <c r="T76" s="5">
        <f t="shared" si="62"/>
        <v>75</v>
      </c>
      <c r="U76" s="5">
        <f t="shared" si="62"/>
        <v>75</v>
      </c>
      <c r="V76" s="5">
        <f t="shared" si="62"/>
        <v>75</v>
      </c>
      <c r="W76" s="5">
        <f t="shared" si="62"/>
        <v>75</v>
      </c>
      <c r="X76" s="5">
        <f t="shared" si="62"/>
        <v>75</v>
      </c>
      <c r="Y76" s="5">
        <f t="shared" si="62"/>
        <v>75</v>
      </c>
      <c r="Z76" s="5">
        <f t="shared" si="62"/>
        <v>75</v>
      </c>
      <c r="AA76" s="5">
        <f t="shared" si="62"/>
        <v>75</v>
      </c>
    </row>
    <row r="77" spans="2:27" x14ac:dyDescent="0.25">
      <c r="B77" s="46" t="s">
        <v>125</v>
      </c>
      <c r="C77" s="5">
        <f>-'Inversión mina'!G25</f>
        <v>-240054.67816091955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spans="2:27" x14ac:dyDescent="0.25">
      <c r="B78" s="48" t="s">
        <v>150</v>
      </c>
      <c r="C78" s="5"/>
      <c r="D78" s="5">
        <f t="shared" ref="D78:K78" si="63">+D58</f>
        <v>-20593.854250200002</v>
      </c>
      <c r="E78" s="5">
        <f t="shared" si="63"/>
        <v>-20593.854250200002</v>
      </c>
      <c r="F78" s="5">
        <f t="shared" si="63"/>
        <v>-20593.854250200002</v>
      </c>
      <c r="G78" s="5">
        <f t="shared" si="63"/>
        <v>-20593.854250200002</v>
      </c>
      <c r="H78" s="5">
        <f t="shared" si="63"/>
        <v>-20593.854250200002</v>
      </c>
      <c r="I78" s="5">
        <f t="shared" si="63"/>
        <v>-20593.854250200002</v>
      </c>
      <c r="J78" s="5">
        <f t="shared" si="63"/>
        <v>-20593.854250200002</v>
      </c>
      <c r="K78" s="5">
        <f t="shared" si="63"/>
        <v>-5843</v>
      </c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spans="2:27" x14ac:dyDescent="0.25">
      <c r="B79" s="46" t="s">
        <v>126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spans="2:27" x14ac:dyDescent="0.25">
      <c r="B80" s="46" t="s">
        <v>127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spans="2:27" x14ac:dyDescent="0.25">
      <c r="B81" s="46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spans="2:27" x14ac:dyDescent="0.25">
      <c r="B82" s="11" t="s">
        <v>131</v>
      </c>
      <c r="C82" s="72">
        <f>SUM(C75:C80)</f>
        <v>-240054.67816091955</v>
      </c>
      <c r="D82" s="10">
        <f t="shared" ref="D82:AA82" si="64">SUM(D75:D80)</f>
        <v>-18433.584879106631</v>
      </c>
      <c r="E82" s="10">
        <f t="shared" si="64"/>
        <v>-19178.412465313526</v>
      </c>
      <c r="F82" s="10">
        <f t="shared" si="64"/>
        <v>-25881.860741175595</v>
      </c>
      <c r="G82" s="10">
        <f t="shared" si="64"/>
        <v>-19178.412465313526</v>
      </c>
      <c r="H82" s="10">
        <f t="shared" si="64"/>
        <v>-18433.584879106631</v>
      </c>
      <c r="I82" s="10">
        <f t="shared" si="64"/>
        <v>-21543.240051520421</v>
      </c>
      <c r="J82" s="10">
        <f t="shared" si="64"/>
        <v>-18433.584879106631</v>
      </c>
      <c r="K82" s="10">
        <f t="shared" si="64"/>
        <v>-4427.5582151135241</v>
      </c>
      <c r="L82" s="10">
        <f t="shared" si="64"/>
        <v>2160.2693710933727</v>
      </c>
      <c r="M82" s="10">
        <f t="shared" si="64"/>
        <v>1415.4417848864762</v>
      </c>
      <c r="N82" s="10">
        <f t="shared" si="64"/>
        <v>-204.55821511352394</v>
      </c>
      <c r="O82" s="10">
        <f t="shared" si="64"/>
        <v>1415.4417848864762</v>
      </c>
      <c r="P82" s="10">
        <f t="shared" si="64"/>
        <v>7689.8801710933676</v>
      </c>
      <c r="Q82" s="10">
        <f t="shared" si="64"/>
        <v>6927.5272299168955</v>
      </c>
      <c r="R82" s="10">
        <f t="shared" si="64"/>
        <v>66.350759328661042</v>
      </c>
      <c r="S82" s="10">
        <f t="shared" si="64"/>
        <v>6927.5272299168955</v>
      </c>
      <c r="T82" s="10">
        <f t="shared" si="64"/>
        <v>5269.409582858073</v>
      </c>
      <c r="U82" s="10">
        <f t="shared" si="64"/>
        <v>6927.5272299168955</v>
      </c>
      <c r="V82" s="10">
        <f t="shared" si="64"/>
        <v>7689.8801710933676</v>
      </c>
      <c r="W82" s="10">
        <f t="shared" si="64"/>
        <v>6927.5272299168955</v>
      </c>
      <c r="X82" s="10">
        <f t="shared" si="64"/>
        <v>7689.8801710933676</v>
      </c>
      <c r="Y82" s="10">
        <f t="shared" si="64"/>
        <v>6927.5272299168955</v>
      </c>
      <c r="Z82" s="10">
        <f t="shared" si="64"/>
        <v>5269.409582858073</v>
      </c>
      <c r="AA82" s="10">
        <f t="shared" si="64"/>
        <v>6927.5272299168955</v>
      </c>
    </row>
    <row r="86" spans="2:27" x14ac:dyDescent="0.25">
      <c r="B86" s="4"/>
      <c r="C86" s="7">
        <v>2023</v>
      </c>
      <c r="D86" s="7">
        <v>2024</v>
      </c>
      <c r="E86" s="4"/>
    </row>
    <row r="87" spans="2:27" x14ac:dyDescent="0.25">
      <c r="B87" s="4" t="s">
        <v>138</v>
      </c>
      <c r="C87" s="5">
        <f>AVERAGE(D41:O41)</f>
        <v>63992.398047285737</v>
      </c>
      <c r="D87" s="5">
        <f>AVERAGE(P41:AA41)</f>
        <v>92616.586942521564</v>
      </c>
      <c r="E87" s="5">
        <f>AVERAGE(C87:D87)</f>
        <v>78304.49249490365</v>
      </c>
    </row>
    <row r="88" spans="2:27" x14ac:dyDescent="0.25">
      <c r="B88" s="4" t="s">
        <v>139</v>
      </c>
      <c r="C88" s="5">
        <f>AVERAGE(D62:O62)</f>
        <v>90062.252991245929</v>
      </c>
      <c r="D88" s="5">
        <f>AVERAGE(P62:AA62)</f>
        <v>120673.64576773177</v>
      </c>
      <c r="E88" s="5">
        <f t="shared" ref="E88:E89" si="65">AVERAGE(C88:D88)</f>
        <v>105367.94937948885</v>
      </c>
    </row>
    <row r="89" spans="2:27" x14ac:dyDescent="0.25">
      <c r="B89" s="4" t="s">
        <v>156</v>
      </c>
      <c r="C89" s="5">
        <f>AVERAGE(D82:O82)</f>
        <v>-11726.970320833643</v>
      </c>
      <c r="D89" s="5">
        <f>AVERAGE(P82:AA82)</f>
        <v>6269.997818152191</v>
      </c>
      <c r="E89" s="5">
        <f t="shared" si="65"/>
        <v>-2728.4862513407261</v>
      </c>
    </row>
    <row r="96" spans="2:27" x14ac:dyDescent="0.25">
      <c r="B96" s="4" t="s">
        <v>137</v>
      </c>
      <c r="C96" s="5">
        <f>+AVERAGE(D21:O21)</f>
        <v>97195.348630776978</v>
      </c>
      <c r="D96" s="5">
        <f>AVERAGE(P21:AA21)</f>
        <v>126472.29687851535</v>
      </c>
      <c r="E96" s="5">
        <f>AVERAGE(C96:D96)</f>
        <v>111833.82275464616</v>
      </c>
    </row>
  </sheetData>
  <conditionalFormatting sqref="D82:AA82">
    <cfRule type="cellIs" dxfId="0" priority="1" operator="lessThan">
      <formula>0</formula>
    </cfRule>
  </conditionalFormatting>
  <pageMargins left="0.7" right="0.7" top="0.75" bottom="0.75" header="0.3" footer="0.3"/>
  <ignoredErrors>
    <ignoredError sqref="F9 N9 R9 T9 Z9" formula="1"/>
  </ignoredErrors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6"/>
  <sheetViews>
    <sheetView tabSelected="1" workbookViewId="0">
      <selection activeCell="C4" sqref="C4"/>
    </sheetView>
  </sheetViews>
  <sheetFormatPr baseColWidth="10" defaultRowHeight="15" x14ac:dyDescent="0.25"/>
  <cols>
    <col min="3" max="6" width="18.7109375" customWidth="1"/>
  </cols>
  <sheetData>
    <row r="2" spans="2:6" x14ac:dyDescent="0.25">
      <c r="B2" s="4"/>
      <c r="C2" s="71" t="s">
        <v>141</v>
      </c>
      <c r="D2" s="71" t="s">
        <v>140</v>
      </c>
      <c r="E2" s="71" t="s">
        <v>142</v>
      </c>
      <c r="F2" s="71" t="s">
        <v>157</v>
      </c>
    </row>
    <row r="3" spans="2:6" x14ac:dyDescent="0.25">
      <c r="B3" s="4" t="s">
        <v>16</v>
      </c>
      <c r="C3" s="69">
        <f>NPV(0.1,'Flujo de caja'!C21:AA21)</f>
        <v>616331.23841374612</v>
      </c>
      <c r="D3" s="69">
        <f>NPV(0.1,'Flujo de caja'!C41:AA41)</f>
        <v>343842.88720503764</v>
      </c>
      <c r="E3" s="69">
        <f>NPV(0.1,'Flujo de caja'!C62:AA62)</f>
        <v>560702.24780863884</v>
      </c>
      <c r="F3" s="69">
        <f>NPV(0.1,'Flujo de caja'!D82:AA82)</f>
        <v>-85109.539033652734</v>
      </c>
    </row>
    <row r="4" spans="2:6" x14ac:dyDescent="0.25">
      <c r="B4" s="4" t="s">
        <v>17</v>
      </c>
      <c r="C4" s="49">
        <f>IRR('Flujo de caja'!C21:AA21,0.1)</f>
        <v>0.37993032621479284</v>
      </c>
      <c r="D4" s="49">
        <f>IRR('Flujo de caja'!C41:AA41,0.1)</f>
        <v>0.25164925364020663</v>
      </c>
      <c r="E4" s="49">
        <f>IRR('Flujo de caja'!C62:AA62,0.1)</f>
        <v>0.35194456687291931</v>
      </c>
      <c r="F4" s="68">
        <f>IRR('Flujo de caja'!C82:AA82,0.1)</f>
        <v>-8.805348143639391E-2</v>
      </c>
    </row>
    <row r="5" spans="2:6" ht="30" x14ac:dyDescent="0.25">
      <c r="B5" s="4" t="s">
        <v>18</v>
      </c>
      <c r="C5" s="4">
        <v>2.2999999999999998</v>
      </c>
      <c r="D5" s="4">
        <v>4.3</v>
      </c>
      <c r="E5" s="4">
        <v>2.8</v>
      </c>
      <c r="F5" s="8" t="s">
        <v>159</v>
      </c>
    </row>
    <row r="6" spans="2:6" x14ac:dyDescent="0.25">
      <c r="D6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Estimación de costos</vt:lpstr>
      <vt:lpstr>Inversión mina</vt:lpstr>
      <vt:lpstr>Costos operación mina</vt:lpstr>
      <vt:lpstr>Costos de operación proceso</vt:lpstr>
      <vt:lpstr>Ingresos</vt:lpstr>
      <vt:lpstr>Flujo de caja</vt:lpstr>
      <vt:lpstr>Análisis Económico Proyecto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Camila Schneider Valenzuela</dc:creator>
  <cp:lastModifiedBy>Alejandra Orellana</cp:lastModifiedBy>
  <dcterms:created xsi:type="dcterms:W3CDTF">2023-12-18T20:02:55Z</dcterms:created>
  <dcterms:modified xsi:type="dcterms:W3CDTF">2024-05-06T19:57:35Z</dcterms:modified>
</cp:coreProperties>
</file>