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Users\cgome039\Documents\MBA\Tesina y Varios\Tesina\Planilla CB Final\"/>
    </mc:Choice>
  </mc:AlternateContent>
  <bookViews>
    <workbookView xWindow="0" yWindow="0" windowWidth="20490" windowHeight="7755" tabRatio="977" firstSheet="8" activeTab="8"/>
  </bookViews>
  <sheets>
    <sheet name="Data Proyectos" sheetId="1" r:id="rId1"/>
    <sheet name="Hoja3" sheetId="16" r:id="rId2"/>
    <sheet name="Fracaso Proyectos" sheetId="7" state="hidden" r:id="rId3"/>
    <sheet name="Costo HH" sheetId="4" state="hidden" r:id="rId4"/>
    <sheet name="Hoja1" sheetId="3" state="hidden" r:id="rId5"/>
    <sheet name="Riesgos genericos proyectos" sheetId="2" state="hidden" r:id="rId6"/>
    <sheet name="Vamos" sheetId="5" state="hidden" r:id="rId7"/>
    <sheet name="Juicio Expertos" sheetId="11" r:id="rId8"/>
    <sheet name="Hoja2" sheetId="15" r:id="rId9"/>
    <sheet name="Jerarq. Riesgos Plazo" sheetId="10" r:id="rId10"/>
    <sheet name="Jerarq. Riesgos Costos" sheetId="13" r:id="rId11"/>
    <sheet name="Contingencias" sheetId="12" state="hidden" r:id="rId12"/>
    <sheet name="Aplicación proyecto JE" sheetId="8" r:id="rId13"/>
    <sheet name="Aplicación proyecto BD" sheetId="18" r:id="rId14"/>
    <sheet name="Plazo y Costo Estiamdos" sheetId="14" r:id="rId15"/>
    <sheet name="Final" sheetId="17" r:id="rId16"/>
    <sheet name="Resumen PPT" sheetId="19" r:id="rId17"/>
  </sheets>
  <externalReferences>
    <externalReference r:id="rId18"/>
  </externalReferences>
  <definedNames>
    <definedName name="_xlnm._FilterDatabase" localSheetId="9" hidden="1">'Jerarq. Riesgos Plazo'!$A$2:$S$60</definedName>
    <definedName name="_xlnm.Print_Area" localSheetId="5">'Riesgos genericos proyectos'!$B$2:$B$271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8" i="19" l="1"/>
  <c r="H7" i="19"/>
  <c r="G8" i="19" l="1"/>
  <c r="F8" i="19"/>
  <c r="E8" i="19"/>
  <c r="G7" i="19" l="1"/>
  <c r="F7" i="19"/>
  <c r="E7" i="19"/>
  <c r="G110" i="18"/>
  <c r="L76" i="10"/>
  <c r="L19" i="8"/>
  <c r="L20" i="8"/>
  <c r="L21" i="8"/>
  <c r="L22" i="8"/>
  <c r="L18" i="8"/>
  <c r="J18" i="8"/>
  <c r="K18" i="8"/>
  <c r="L75" i="10"/>
  <c r="L11" i="8"/>
  <c r="L12" i="8"/>
  <c r="L13" i="8"/>
  <c r="L14" i="8"/>
  <c r="L15" i="8"/>
  <c r="L16" i="8"/>
  <c r="L17" i="8"/>
  <c r="L10" i="8"/>
  <c r="J10" i="8"/>
  <c r="K10" i="8"/>
  <c r="J5" i="8"/>
  <c r="L74" i="10"/>
  <c r="L6" i="8"/>
  <c r="L7" i="8"/>
  <c r="L8" i="8"/>
  <c r="L9" i="8"/>
  <c r="L5" i="8"/>
  <c r="K5" i="8"/>
  <c r="I150" i="18"/>
  <c r="I151" i="18" s="1"/>
  <c r="I26" i="18"/>
  <c r="I28" i="18"/>
  <c r="I29" i="18"/>
  <c r="I30" i="18"/>
  <c r="I31" i="18"/>
  <c r="I32" i="18"/>
  <c r="I33" i="18"/>
  <c r="I34" i="18"/>
  <c r="I35" i="18"/>
  <c r="I36" i="18"/>
  <c r="I37" i="18"/>
  <c r="I38" i="18"/>
  <c r="I27" i="18"/>
  <c r="I40" i="18"/>
  <c r="I41" i="18"/>
  <c r="I42" i="18"/>
  <c r="I43" i="18"/>
  <c r="I44" i="18"/>
  <c r="I45" i="18"/>
  <c r="I46" i="18"/>
  <c r="I47" i="18"/>
  <c r="I48" i="18"/>
  <c r="I39" i="18"/>
  <c r="I50" i="18"/>
  <c r="I51" i="18"/>
  <c r="I52" i="18"/>
  <c r="I53" i="18"/>
  <c r="I54" i="18"/>
  <c r="I55" i="18"/>
  <c r="I56" i="18"/>
  <c r="I57" i="18"/>
  <c r="I58" i="18"/>
  <c r="I59" i="18"/>
  <c r="I60" i="18"/>
  <c r="I61" i="18"/>
  <c r="I62" i="18"/>
  <c r="I63" i="18"/>
  <c r="I64" i="18"/>
  <c r="I65" i="18"/>
  <c r="I66" i="18"/>
  <c r="I67" i="18"/>
  <c r="I68" i="18"/>
  <c r="I69" i="18"/>
  <c r="I70" i="18"/>
  <c r="I71" i="18"/>
  <c r="I72" i="18"/>
  <c r="I73" i="18"/>
  <c r="I74" i="18"/>
  <c r="I75" i="18"/>
  <c r="I76" i="18"/>
  <c r="I77" i="18"/>
  <c r="I78" i="18"/>
  <c r="I79" i="18"/>
  <c r="I80" i="18"/>
  <c r="I49" i="18"/>
  <c r="I82" i="18"/>
  <c r="I83" i="18"/>
  <c r="I84" i="18"/>
  <c r="I85" i="18"/>
  <c r="I86" i="18"/>
  <c r="I87" i="18"/>
  <c r="I88" i="18"/>
  <c r="I89" i="18"/>
  <c r="I81" i="18"/>
  <c r="I91" i="18"/>
  <c r="I92" i="18"/>
  <c r="I93" i="18"/>
  <c r="I94" i="18"/>
  <c r="I95" i="18"/>
  <c r="I96" i="18"/>
  <c r="I97" i="18"/>
  <c r="I98" i="18"/>
  <c r="I99" i="18"/>
  <c r="I100" i="18"/>
  <c r="I101" i="18"/>
  <c r="I102" i="18"/>
  <c r="I103" i="18"/>
  <c r="I104" i="18"/>
  <c r="I105" i="18"/>
  <c r="I106" i="18"/>
  <c r="I107" i="18"/>
  <c r="I108" i="18"/>
  <c r="I109" i="18"/>
  <c r="I90" i="18"/>
  <c r="I111" i="18"/>
  <c r="I112" i="18"/>
  <c r="I113" i="18"/>
  <c r="I114" i="18"/>
  <c r="I115" i="18"/>
  <c r="I116" i="18"/>
  <c r="I117" i="18"/>
  <c r="I118" i="18"/>
  <c r="I119" i="18"/>
  <c r="I120" i="18"/>
  <c r="I121" i="18"/>
  <c r="I122" i="18"/>
  <c r="I123" i="18"/>
  <c r="I124" i="18"/>
  <c r="I125" i="18"/>
  <c r="I126" i="18"/>
  <c r="I127" i="18"/>
  <c r="I128" i="18"/>
  <c r="I129" i="18"/>
  <c r="I130" i="18"/>
  <c r="I131" i="18"/>
  <c r="I132" i="18"/>
  <c r="I133" i="18"/>
  <c r="I134" i="18"/>
  <c r="I135" i="18"/>
  <c r="I136" i="18"/>
  <c r="I137" i="18"/>
  <c r="I138" i="18"/>
  <c r="I139" i="18"/>
  <c r="I140" i="18"/>
  <c r="I141" i="18"/>
  <c r="I142" i="18"/>
  <c r="I143" i="18"/>
  <c r="I144" i="18"/>
  <c r="I145" i="18"/>
  <c r="I146" i="18"/>
  <c r="I110" i="18"/>
  <c r="I148" i="18"/>
  <c r="I147" i="18"/>
  <c r="I149" i="18"/>
  <c r="N148" i="18"/>
  <c r="T148" i="18"/>
  <c r="U148" i="18"/>
  <c r="S148" i="18"/>
  <c r="Q148" i="18"/>
  <c r="R148" i="18"/>
  <c r="P148" i="18"/>
  <c r="K77" i="13"/>
  <c r="O148" i="18" s="1"/>
  <c r="O147" i="18" s="1"/>
  <c r="M148" i="18"/>
  <c r="L77" i="10"/>
  <c r="L148" i="18"/>
  <c r="J148" i="18"/>
  <c r="AC147" i="18"/>
  <c r="AD147" i="18"/>
  <c r="W147" i="18"/>
  <c r="X147" i="18"/>
  <c r="U147" i="18"/>
  <c r="T147" i="18"/>
  <c r="S147" i="18"/>
  <c r="R147" i="18"/>
  <c r="Q147" i="18"/>
  <c r="P147" i="18"/>
  <c r="N147" i="18"/>
  <c r="M147" i="18"/>
  <c r="L147" i="18"/>
  <c r="K147" i="18"/>
  <c r="J147" i="18"/>
  <c r="G147" i="18"/>
  <c r="N146" i="18"/>
  <c r="T146" i="18"/>
  <c r="U146" i="18"/>
  <c r="S146" i="18"/>
  <c r="Q146" i="18"/>
  <c r="R146" i="18"/>
  <c r="P146" i="18"/>
  <c r="K76" i="13"/>
  <c r="O146" i="18" s="1"/>
  <c r="M146" i="18"/>
  <c r="L146" i="18"/>
  <c r="J146" i="18"/>
  <c r="N145" i="18"/>
  <c r="T145" i="18"/>
  <c r="U145" i="18"/>
  <c r="S145" i="18"/>
  <c r="Q145" i="18"/>
  <c r="R145" i="18"/>
  <c r="P145" i="18"/>
  <c r="O145" i="18"/>
  <c r="M145" i="18"/>
  <c r="L145" i="18"/>
  <c r="J145" i="18"/>
  <c r="AD144" i="18"/>
  <c r="X144" i="18"/>
  <c r="N144" i="18"/>
  <c r="T144" i="18"/>
  <c r="U144" i="18"/>
  <c r="S144" i="18"/>
  <c r="Q144" i="18"/>
  <c r="R144" i="18"/>
  <c r="P144" i="18"/>
  <c r="M144" i="18"/>
  <c r="L144" i="18"/>
  <c r="J144" i="18"/>
  <c r="AD143" i="18"/>
  <c r="X143" i="18"/>
  <c r="N143" i="18"/>
  <c r="T143" i="18"/>
  <c r="U143" i="18"/>
  <c r="S143" i="18"/>
  <c r="Q143" i="18"/>
  <c r="R143" i="18"/>
  <c r="P143" i="18"/>
  <c r="M143" i="18"/>
  <c r="L143" i="18"/>
  <c r="J143" i="18"/>
  <c r="AD142" i="18"/>
  <c r="X142" i="18"/>
  <c r="N142" i="18"/>
  <c r="T142" i="18"/>
  <c r="U142" i="18"/>
  <c r="S142" i="18"/>
  <c r="Q142" i="18"/>
  <c r="R142" i="18"/>
  <c r="P142" i="18"/>
  <c r="O142" i="18"/>
  <c r="M142" i="18"/>
  <c r="L142" i="18"/>
  <c r="J142" i="18"/>
  <c r="AD141" i="18"/>
  <c r="X141" i="18"/>
  <c r="N141" i="18"/>
  <c r="T141" i="18"/>
  <c r="U141" i="18"/>
  <c r="S141" i="18"/>
  <c r="Q141" i="18"/>
  <c r="R141" i="18"/>
  <c r="P141" i="18"/>
  <c r="M141" i="18"/>
  <c r="L141" i="18"/>
  <c r="J141" i="18"/>
  <c r="AD140" i="18"/>
  <c r="X140" i="18"/>
  <c r="N140" i="18"/>
  <c r="T140" i="18"/>
  <c r="U140" i="18"/>
  <c r="S140" i="18"/>
  <c r="Q140" i="18"/>
  <c r="R140" i="18"/>
  <c r="P140" i="18"/>
  <c r="M140" i="18"/>
  <c r="L140" i="18"/>
  <c r="J140" i="18"/>
  <c r="AD139" i="18"/>
  <c r="X139" i="18"/>
  <c r="N139" i="18"/>
  <c r="T139" i="18"/>
  <c r="U139" i="18"/>
  <c r="S139" i="18"/>
  <c r="Q139" i="18"/>
  <c r="R139" i="18"/>
  <c r="P139" i="18"/>
  <c r="M139" i="18"/>
  <c r="L139" i="18"/>
  <c r="J139" i="18"/>
  <c r="AD138" i="18"/>
  <c r="X138" i="18"/>
  <c r="N138" i="18"/>
  <c r="T138" i="18"/>
  <c r="U138" i="18"/>
  <c r="S138" i="18"/>
  <c r="Q138" i="18"/>
  <c r="R138" i="18"/>
  <c r="P138" i="18"/>
  <c r="M138" i="18"/>
  <c r="L138" i="18"/>
  <c r="J138" i="18"/>
  <c r="AD137" i="18"/>
  <c r="X137" i="18"/>
  <c r="N137" i="18"/>
  <c r="T137" i="18"/>
  <c r="U137" i="18"/>
  <c r="S137" i="18"/>
  <c r="Q137" i="18"/>
  <c r="R137" i="18"/>
  <c r="P137" i="18"/>
  <c r="M137" i="18"/>
  <c r="L137" i="18"/>
  <c r="J137" i="18"/>
  <c r="AD136" i="18"/>
  <c r="X136" i="18"/>
  <c r="N136" i="18"/>
  <c r="T136" i="18"/>
  <c r="U136" i="18"/>
  <c r="S136" i="18"/>
  <c r="Q136" i="18"/>
  <c r="R136" i="18"/>
  <c r="P136" i="18"/>
  <c r="M136" i="18"/>
  <c r="L136" i="18"/>
  <c r="J136" i="18"/>
  <c r="AD135" i="18"/>
  <c r="X135" i="18"/>
  <c r="N135" i="18"/>
  <c r="T135" i="18"/>
  <c r="U135" i="18"/>
  <c r="S135" i="18"/>
  <c r="Q135" i="18"/>
  <c r="R135" i="18"/>
  <c r="P135" i="18"/>
  <c r="M135" i="18"/>
  <c r="L135" i="18"/>
  <c r="J135" i="18"/>
  <c r="AD134" i="18"/>
  <c r="X134" i="18"/>
  <c r="N134" i="18"/>
  <c r="T134" i="18"/>
  <c r="U134" i="18"/>
  <c r="S134" i="18"/>
  <c r="Q134" i="18"/>
  <c r="R134" i="18"/>
  <c r="P134" i="18"/>
  <c r="M134" i="18"/>
  <c r="L134" i="18"/>
  <c r="J134" i="18"/>
  <c r="AD133" i="18"/>
  <c r="X133" i="18"/>
  <c r="N133" i="18"/>
  <c r="T133" i="18"/>
  <c r="U133" i="18"/>
  <c r="S133" i="18"/>
  <c r="Q133" i="18"/>
  <c r="R133" i="18"/>
  <c r="P133" i="18"/>
  <c r="M133" i="18"/>
  <c r="L133" i="18"/>
  <c r="J133" i="18"/>
  <c r="AD132" i="18"/>
  <c r="X132" i="18"/>
  <c r="N132" i="18"/>
  <c r="T132" i="18"/>
  <c r="U132" i="18"/>
  <c r="S132" i="18"/>
  <c r="Q132" i="18"/>
  <c r="R132" i="18"/>
  <c r="P132" i="18"/>
  <c r="M132" i="18"/>
  <c r="L132" i="18"/>
  <c r="J132" i="18"/>
  <c r="AD131" i="18"/>
  <c r="X131" i="18"/>
  <c r="N131" i="18"/>
  <c r="T131" i="18"/>
  <c r="U131" i="18"/>
  <c r="S131" i="18"/>
  <c r="Q131" i="18"/>
  <c r="R131" i="18"/>
  <c r="P131" i="18"/>
  <c r="M131" i="18"/>
  <c r="L131" i="18"/>
  <c r="J131" i="18"/>
  <c r="AD130" i="18"/>
  <c r="X130" i="18"/>
  <c r="N130" i="18"/>
  <c r="T130" i="18"/>
  <c r="U130" i="18"/>
  <c r="S130" i="18"/>
  <c r="Q130" i="18"/>
  <c r="R130" i="18"/>
  <c r="P130" i="18"/>
  <c r="M130" i="18"/>
  <c r="L130" i="18"/>
  <c r="J130" i="18"/>
  <c r="AD129" i="18"/>
  <c r="X129" i="18"/>
  <c r="N129" i="18"/>
  <c r="T129" i="18"/>
  <c r="U129" i="18"/>
  <c r="S129" i="18"/>
  <c r="Q129" i="18"/>
  <c r="R129" i="18"/>
  <c r="P129" i="18"/>
  <c r="M129" i="18"/>
  <c r="L129" i="18"/>
  <c r="J129" i="18"/>
  <c r="AD128" i="18"/>
  <c r="X128" i="18"/>
  <c r="N128" i="18"/>
  <c r="T128" i="18"/>
  <c r="U128" i="18"/>
  <c r="S128" i="18"/>
  <c r="Q128" i="18"/>
  <c r="R128" i="18"/>
  <c r="P128" i="18"/>
  <c r="M128" i="18"/>
  <c r="L128" i="18"/>
  <c r="J128" i="18"/>
  <c r="AD127" i="18"/>
  <c r="X127" i="18"/>
  <c r="N127" i="18"/>
  <c r="T127" i="18"/>
  <c r="U127" i="18"/>
  <c r="S127" i="18"/>
  <c r="Q127" i="18"/>
  <c r="R127" i="18"/>
  <c r="P127" i="18"/>
  <c r="M127" i="18"/>
  <c r="L127" i="18"/>
  <c r="J127" i="18"/>
  <c r="AD126" i="18"/>
  <c r="X126" i="18"/>
  <c r="N126" i="18"/>
  <c r="T126" i="18"/>
  <c r="U126" i="18"/>
  <c r="S126" i="18"/>
  <c r="Q126" i="18"/>
  <c r="R126" i="18"/>
  <c r="P126" i="18"/>
  <c r="M126" i="18"/>
  <c r="L126" i="18"/>
  <c r="J126" i="18"/>
  <c r="AD125" i="18"/>
  <c r="X125" i="18"/>
  <c r="N125" i="18"/>
  <c r="T125" i="18"/>
  <c r="U125" i="18"/>
  <c r="S125" i="18"/>
  <c r="Q125" i="18"/>
  <c r="R125" i="18"/>
  <c r="P125" i="18"/>
  <c r="M125" i="18"/>
  <c r="L125" i="18"/>
  <c r="J125" i="18"/>
  <c r="AD124" i="18"/>
  <c r="X124" i="18"/>
  <c r="N124" i="18"/>
  <c r="T124" i="18"/>
  <c r="U124" i="18"/>
  <c r="S124" i="18"/>
  <c r="Q124" i="18"/>
  <c r="R124" i="18"/>
  <c r="P124" i="18"/>
  <c r="M124" i="18"/>
  <c r="L124" i="18"/>
  <c r="J124" i="18"/>
  <c r="AD123" i="18"/>
  <c r="X123" i="18"/>
  <c r="N123" i="18"/>
  <c r="T123" i="18"/>
  <c r="U123" i="18"/>
  <c r="S123" i="18"/>
  <c r="Q123" i="18"/>
  <c r="R123" i="18"/>
  <c r="P123" i="18"/>
  <c r="M123" i="18"/>
  <c r="L123" i="18"/>
  <c r="J123" i="18"/>
  <c r="AD122" i="18"/>
  <c r="X122" i="18"/>
  <c r="N122" i="18"/>
  <c r="T122" i="18"/>
  <c r="U122" i="18"/>
  <c r="S122" i="18"/>
  <c r="Q122" i="18"/>
  <c r="R122" i="18"/>
  <c r="P122" i="18"/>
  <c r="M122" i="18"/>
  <c r="L122" i="18"/>
  <c r="J122" i="18"/>
  <c r="AD121" i="18"/>
  <c r="X121" i="18"/>
  <c r="N121" i="18"/>
  <c r="T121" i="18"/>
  <c r="U121" i="18"/>
  <c r="S121" i="18"/>
  <c r="Q121" i="18"/>
  <c r="R121" i="18"/>
  <c r="P121" i="18"/>
  <c r="M121" i="18"/>
  <c r="L121" i="18"/>
  <c r="J121" i="18"/>
  <c r="AD120" i="18"/>
  <c r="X120" i="18"/>
  <c r="N120" i="18"/>
  <c r="T120" i="18"/>
  <c r="U120" i="18"/>
  <c r="S120" i="18"/>
  <c r="Q120" i="18"/>
  <c r="R120" i="18"/>
  <c r="P120" i="18"/>
  <c r="M120" i="18"/>
  <c r="L120" i="18"/>
  <c r="J120" i="18"/>
  <c r="AD119" i="18"/>
  <c r="X119" i="18"/>
  <c r="N119" i="18"/>
  <c r="T119" i="18"/>
  <c r="U119" i="18"/>
  <c r="S119" i="18"/>
  <c r="Q119" i="18"/>
  <c r="R119" i="18"/>
  <c r="P119" i="18"/>
  <c r="M119" i="18"/>
  <c r="L119" i="18"/>
  <c r="J119" i="18"/>
  <c r="AD118" i="18"/>
  <c r="X118" i="18"/>
  <c r="N118" i="18"/>
  <c r="T118" i="18"/>
  <c r="U118" i="18"/>
  <c r="S118" i="18"/>
  <c r="Q118" i="18"/>
  <c r="R118" i="18"/>
  <c r="P118" i="18"/>
  <c r="M118" i="18"/>
  <c r="L118" i="18"/>
  <c r="J118" i="18"/>
  <c r="AD117" i="18"/>
  <c r="X117" i="18"/>
  <c r="N117" i="18"/>
  <c r="T117" i="18"/>
  <c r="U117" i="18"/>
  <c r="S117" i="18"/>
  <c r="Q117" i="18"/>
  <c r="R117" i="18"/>
  <c r="P117" i="18"/>
  <c r="M117" i="18"/>
  <c r="L117" i="18"/>
  <c r="J117" i="18"/>
  <c r="AD116" i="18"/>
  <c r="X116" i="18"/>
  <c r="N116" i="18"/>
  <c r="T116" i="18"/>
  <c r="U116" i="18"/>
  <c r="S116" i="18"/>
  <c r="Q116" i="18"/>
  <c r="R116" i="18"/>
  <c r="P116" i="18"/>
  <c r="M116" i="18"/>
  <c r="L116" i="18"/>
  <c r="J116" i="18"/>
  <c r="AD115" i="18"/>
  <c r="X115" i="18"/>
  <c r="N115" i="18"/>
  <c r="T115" i="18"/>
  <c r="U115" i="18"/>
  <c r="S115" i="18"/>
  <c r="Q115" i="18"/>
  <c r="R115" i="18"/>
  <c r="P115" i="18"/>
  <c r="M115" i="18"/>
  <c r="L115" i="18"/>
  <c r="J115" i="18"/>
  <c r="AD114" i="18"/>
  <c r="X114" i="18"/>
  <c r="N114" i="18"/>
  <c r="T114" i="18"/>
  <c r="U114" i="18"/>
  <c r="S114" i="18"/>
  <c r="Q114" i="18"/>
  <c r="R114" i="18"/>
  <c r="P114" i="18"/>
  <c r="M114" i="18"/>
  <c r="L114" i="18"/>
  <c r="J114" i="18"/>
  <c r="AD113" i="18"/>
  <c r="X113" i="18"/>
  <c r="N113" i="18"/>
  <c r="T113" i="18"/>
  <c r="U113" i="18"/>
  <c r="S113" i="18"/>
  <c r="Q113" i="18"/>
  <c r="R113" i="18"/>
  <c r="P113" i="18"/>
  <c r="M113" i="18"/>
  <c r="L113" i="18"/>
  <c r="J113" i="18"/>
  <c r="AD112" i="18"/>
  <c r="X112" i="18"/>
  <c r="N112" i="18"/>
  <c r="T112" i="18"/>
  <c r="U112" i="18"/>
  <c r="S112" i="18"/>
  <c r="Q112" i="18"/>
  <c r="R112" i="18"/>
  <c r="P112" i="18"/>
  <c r="O112" i="18"/>
  <c r="M112" i="18"/>
  <c r="L112" i="18"/>
  <c r="J112" i="18"/>
  <c r="AD111" i="18"/>
  <c r="X111" i="18"/>
  <c r="N111" i="18"/>
  <c r="T111" i="18"/>
  <c r="U111" i="18"/>
  <c r="S111" i="18"/>
  <c r="Q111" i="18"/>
  <c r="R111" i="18"/>
  <c r="P111" i="18"/>
  <c r="M111" i="18"/>
  <c r="L111" i="18"/>
  <c r="J111" i="18"/>
  <c r="AC110" i="18"/>
  <c r="AD110" i="18"/>
  <c r="W110" i="18"/>
  <c r="X110" i="18"/>
  <c r="U110" i="18"/>
  <c r="T110" i="18"/>
  <c r="S110" i="18"/>
  <c r="R110" i="18"/>
  <c r="Q110" i="18"/>
  <c r="P110" i="18"/>
  <c r="N110" i="18"/>
  <c r="M110" i="18"/>
  <c r="L110" i="18"/>
  <c r="K110" i="18"/>
  <c r="J110" i="18"/>
  <c r="AD109" i="18"/>
  <c r="X109" i="18"/>
  <c r="N109" i="18"/>
  <c r="T109" i="18"/>
  <c r="U109" i="18"/>
  <c r="S109" i="18"/>
  <c r="Q109" i="18"/>
  <c r="R109" i="18"/>
  <c r="P109" i="18"/>
  <c r="M109" i="18"/>
  <c r="L109" i="18"/>
  <c r="J109" i="18"/>
  <c r="AD108" i="18"/>
  <c r="X108" i="18"/>
  <c r="N108" i="18"/>
  <c r="T108" i="18"/>
  <c r="U108" i="18"/>
  <c r="S108" i="18"/>
  <c r="Q108" i="18"/>
  <c r="R108" i="18"/>
  <c r="P108" i="18"/>
  <c r="O108" i="18"/>
  <c r="M108" i="18"/>
  <c r="L108" i="18"/>
  <c r="J108" i="18"/>
  <c r="AD107" i="18"/>
  <c r="X107" i="18"/>
  <c r="N107" i="18"/>
  <c r="T107" i="18"/>
  <c r="U107" i="18"/>
  <c r="S107" i="18"/>
  <c r="Q107" i="18"/>
  <c r="R107" i="18"/>
  <c r="P107" i="18"/>
  <c r="M107" i="18"/>
  <c r="L107" i="18"/>
  <c r="J107" i="18"/>
  <c r="AD106" i="18"/>
  <c r="X106" i="18"/>
  <c r="N106" i="18"/>
  <c r="T106" i="18"/>
  <c r="U106" i="18"/>
  <c r="S106" i="18"/>
  <c r="Q106" i="18"/>
  <c r="R106" i="18"/>
  <c r="P106" i="18"/>
  <c r="M106" i="18"/>
  <c r="L106" i="18"/>
  <c r="J106" i="18"/>
  <c r="AD105" i="18"/>
  <c r="X105" i="18"/>
  <c r="N105" i="18"/>
  <c r="T105" i="18"/>
  <c r="U105" i="18"/>
  <c r="S105" i="18"/>
  <c r="Q105" i="18"/>
  <c r="R105" i="18"/>
  <c r="P105" i="18"/>
  <c r="M105" i="18"/>
  <c r="L105" i="18"/>
  <c r="J105" i="18"/>
  <c r="AD104" i="18"/>
  <c r="X104" i="18"/>
  <c r="N104" i="18"/>
  <c r="T104" i="18"/>
  <c r="U104" i="18"/>
  <c r="S104" i="18"/>
  <c r="Q104" i="18"/>
  <c r="R104" i="18"/>
  <c r="P104" i="18"/>
  <c r="O104" i="18"/>
  <c r="M104" i="18"/>
  <c r="L104" i="18"/>
  <c r="J104" i="18"/>
  <c r="AD103" i="18"/>
  <c r="X103" i="18"/>
  <c r="N103" i="18"/>
  <c r="T103" i="18"/>
  <c r="U103" i="18"/>
  <c r="S103" i="18"/>
  <c r="Q103" i="18"/>
  <c r="R103" i="18"/>
  <c r="P103" i="18"/>
  <c r="O103" i="18"/>
  <c r="M103" i="18"/>
  <c r="L103" i="18"/>
  <c r="J103" i="18"/>
  <c r="AD102" i="18"/>
  <c r="X102" i="18"/>
  <c r="N102" i="18"/>
  <c r="T102" i="18"/>
  <c r="U102" i="18"/>
  <c r="S102" i="18"/>
  <c r="Q102" i="18"/>
  <c r="R102" i="18"/>
  <c r="P102" i="18"/>
  <c r="O102" i="18"/>
  <c r="M102" i="18"/>
  <c r="L102" i="18"/>
  <c r="J102" i="18"/>
  <c r="AD101" i="18"/>
  <c r="X101" i="18"/>
  <c r="N101" i="18"/>
  <c r="T101" i="18"/>
  <c r="U101" i="18"/>
  <c r="S101" i="18"/>
  <c r="Q101" i="18"/>
  <c r="R101" i="18"/>
  <c r="P101" i="18"/>
  <c r="M101" i="18"/>
  <c r="L101" i="18"/>
  <c r="J101" i="18"/>
  <c r="AD100" i="18"/>
  <c r="X100" i="18"/>
  <c r="N100" i="18"/>
  <c r="T100" i="18"/>
  <c r="U100" i="18"/>
  <c r="S100" i="18"/>
  <c r="Q100" i="18"/>
  <c r="R100" i="18"/>
  <c r="P100" i="18"/>
  <c r="O100" i="18"/>
  <c r="M100" i="18"/>
  <c r="L100" i="18"/>
  <c r="J100" i="18"/>
  <c r="AD99" i="18"/>
  <c r="X99" i="18"/>
  <c r="N99" i="18"/>
  <c r="T99" i="18"/>
  <c r="U99" i="18"/>
  <c r="S99" i="18"/>
  <c r="Q99" i="18"/>
  <c r="R99" i="18"/>
  <c r="P99" i="18"/>
  <c r="O99" i="18"/>
  <c r="M99" i="18"/>
  <c r="L99" i="18"/>
  <c r="J99" i="18"/>
  <c r="AD98" i="18"/>
  <c r="X98" i="18"/>
  <c r="N98" i="18"/>
  <c r="T98" i="18"/>
  <c r="U98" i="18"/>
  <c r="S98" i="18"/>
  <c r="Q98" i="18"/>
  <c r="R98" i="18"/>
  <c r="P98" i="18"/>
  <c r="O98" i="18"/>
  <c r="M98" i="18"/>
  <c r="L98" i="18"/>
  <c r="J98" i="18"/>
  <c r="AD97" i="18"/>
  <c r="X97" i="18"/>
  <c r="N97" i="18"/>
  <c r="T97" i="18"/>
  <c r="U97" i="18"/>
  <c r="S97" i="18"/>
  <c r="Q97" i="18"/>
  <c r="R97" i="18"/>
  <c r="P97" i="18"/>
  <c r="M97" i="18"/>
  <c r="L97" i="18"/>
  <c r="J97" i="18"/>
  <c r="AD96" i="18"/>
  <c r="X96" i="18"/>
  <c r="N96" i="18"/>
  <c r="T96" i="18"/>
  <c r="U96" i="18"/>
  <c r="S96" i="18"/>
  <c r="Q96" i="18"/>
  <c r="R96" i="18"/>
  <c r="P96" i="18"/>
  <c r="O96" i="18"/>
  <c r="M96" i="18"/>
  <c r="L96" i="18"/>
  <c r="J96" i="18"/>
  <c r="AD95" i="18"/>
  <c r="X95" i="18"/>
  <c r="N95" i="18"/>
  <c r="T95" i="18"/>
  <c r="U95" i="18"/>
  <c r="S95" i="18"/>
  <c r="Q95" i="18"/>
  <c r="R95" i="18"/>
  <c r="P95" i="18"/>
  <c r="O95" i="18"/>
  <c r="M95" i="18"/>
  <c r="L95" i="18"/>
  <c r="J95" i="18"/>
  <c r="AD94" i="18"/>
  <c r="X94" i="18"/>
  <c r="N94" i="18"/>
  <c r="T94" i="18"/>
  <c r="U94" i="18"/>
  <c r="S94" i="18"/>
  <c r="Q94" i="18"/>
  <c r="R94" i="18"/>
  <c r="P94" i="18"/>
  <c r="O94" i="18"/>
  <c r="M94" i="18"/>
  <c r="L94" i="18"/>
  <c r="J94" i="18"/>
  <c r="AD93" i="18"/>
  <c r="X93" i="18"/>
  <c r="N93" i="18"/>
  <c r="T93" i="18"/>
  <c r="U93" i="18"/>
  <c r="S93" i="18"/>
  <c r="Q93" i="18"/>
  <c r="R93" i="18"/>
  <c r="P93" i="18"/>
  <c r="M93" i="18"/>
  <c r="L93" i="18"/>
  <c r="J93" i="18"/>
  <c r="AD92" i="18"/>
  <c r="X92" i="18"/>
  <c r="N92" i="18"/>
  <c r="T92" i="18"/>
  <c r="U92" i="18"/>
  <c r="S92" i="18"/>
  <c r="Q92" i="18"/>
  <c r="R92" i="18"/>
  <c r="P92" i="18"/>
  <c r="O92" i="18"/>
  <c r="M92" i="18"/>
  <c r="L92" i="18"/>
  <c r="J92" i="18"/>
  <c r="AD91" i="18"/>
  <c r="X91" i="18"/>
  <c r="N91" i="18"/>
  <c r="T91" i="18"/>
  <c r="U91" i="18"/>
  <c r="S91" i="18"/>
  <c r="Q91" i="18"/>
  <c r="R91" i="18"/>
  <c r="P91" i="18"/>
  <c r="O91" i="18"/>
  <c r="M91" i="18"/>
  <c r="L91" i="18"/>
  <c r="J91" i="18"/>
  <c r="AC90" i="18"/>
  <c r="AD90" i="18"/>
  <c r="W90" i="18"/>
  <c r="X90" i="18"/>
  <c r="U90" i="18"/>
  <c r="T90" i="18"/>
  <c r="S90" i="18"/>
  <c r="R90" i="18"/>
  <c r="Q90" i="18"/>
  <c r="P90" i="18"/>
  <c r="N90" i="18"/>
  <c r="M90" i="18"/>
  <c r="L90" i="18"/>
  <c r="K90" i="18"/>
  <c r="J90" i="18"/>
  <c r="G90" i="18"/>
  <c r="AD89" i="18"/>
  <c r="X89" i="18"/>
  <c r="N89" i="18"/>
  <c r="T89" i="18"/>
  <c r="U89" i="18"/>
  <c r="S89" i="18"/>
  <c r="Q89" i="18"/>
  <c r="R89" i="18"/>
  <c r="P89" i="18"/>
  <c r="K73" i="13"/>
  <c r="O87" i="18" s="1"/>
  <c r="M89" i="18"/>
  <c r="L89" i="18"/>
  <c r="J89" i="18"/>
  <c r="AD88" i="18"/>
  <c r="X88" i="18"/>
  <c r="N88" i="18"/>
  <c r="T88" i="18"/>
  <c r="U88" i="18"/>
  <c r="S88" i="18"/>
  <c r="Q88" i="18"/>
  <c r="R88" i="18"/>
  <c r="P88" i="18"/>
  <c r="M88" i="18"/>
  <c r="L88" i="18"/>
  <c r="J88" i="18"/>
  <c r="AD87" i="18"/>
  <c r="X87" i="18"/>
  <c r="N87" i="18"/>
  <c r="T87" i="18"/>
  <c r="U87" i="18"/>
  <c r="S87" i="18"/>
  <c r="Q87" i="18"/>
  <c r="R87" i="18"/>
  <c r="P87" i="18"/>
  <c r="M87" i="18"/>
  <c r="L87" i="18"/>
  <c r="J87" i="18"/>
  <c r="AD86" i="18"/>
  <c r="X86" i="18"/>
  <c r="N86" i="18"/>
  <c r="T86" i="18"/>
  <c r="U86" i="18"/>
  <c r="S86" i="18"/>
  <c r="Q86" i="18"/>
  <c r="R86" i="18"/>
  <c r="P86" i="18"/>
  <c r="M86" i="18"/>
  <c r="L86" i="18"/>
  <c r="J86" i="18"/>
  <c r="AD85" i="18"/>
  <c r="X85" i="18"/>
  <c r="N85" i="18"/>
  <c r="T85" i="18"/>
  <c r="U85" i="18"/>
  <c r="S85" i="18"/>
  <c r="Q85" i="18"/>
  <c r="R85" i="18"/>
  <c r="P85" i="18"/>
  <c r="M85" i="18"/>
  <c r="L85" i="18"/>
  <c r="J85" i="18"/>
  <c r="AD84" i="18"/>
  <c r="X84" i="18"/>
  <c r="N84" i="18"/>
  <c r="T84" i="18"/>
  <c r="U84" i="18"/>
  <c r="S84" i="18"/>
  <c r="Q84" i="18"/>
  <c r="R84" i="18"/>
  <c r="P84" i="18"/>
  <c r="M84" i="18"/>
  <c r="L84" i="18"/>
  <c r="J84" i="18"/>
  <c r="AD83" i="18"/>
  <c r="X83" i="18"/>
  <c r="N83" i="18"/>
  <c r="T83" i="18"/>
  <c r="U83" i="18"/>
  <c r="S83" i="18"/>
  <c r="Q83" i="18"/>
  <c r="R83" i="18"/>
  <c r="P83" i="18"/>
  <c r="M83" i="18"/>
  <c r="L83" i="18"/>
  <c r="J83" i="18"/>
  <c r="AD82" i="18"/>
  <c r="X82" i="18"/>
  <c r="N82" i="18"/>
  <c r="T82" i="18"/>
  <c r="U82" i="18"/>
  <c r="S82" i="18"/>
  <c r="Q82" i="18"/>
  <c r="R82" i="18"/>
  <c r="P82" i="18"/>
  <c r="M82" i="18"/>
  <c r="L82" i="18"/>
  <c r="J82" i="18"/>
  <c r="AC81" i="18"/>
  <c r="AD81" i="18"/>
  <c r="W81" i="18"/>
  <c r="X81" i="18"/>
  <c r="U81" i="18"/>
  <c r="T81" i="18"/>
  <c r="S81" i="18"/>
  <c r="R81" i="18"/>
  <c r="Q81" i="18"/>
  <c r="P81" i="18"/>
  <c r="N81" i="18"/>
  <c r="M81" i="18"/>
  <c r="L81" i="18"/>
  <c r="K81" i="18"/>
  <c r="J81" i="18"/>
  <c r="G81" i="18"/>
  <c r="N80" i="18"/>
  <c r="T80" i="18"/>
  <c r="U80" i="18"/>
  <c r="S80" i="18"/>
  <c r="Q80" i="18"/>
  <c r="R80" i="18"/>
  <c r="P80" i="18"/>
  <c r="K72" i="13"/>
  <c r="O78" i="18" s="1"/>
  <c r="M80" i="18"/>
  <c r="L80" i="18"/>
  <c r="J80" i="18"/>
  <c r="AD79" i="18"/>
  <c r="X79" i="18"/>
  <c r="N79" i="18"/>
  <c r="T79" i="18"/>
  <c r="U79" i="18"/>
  <c r="S79" i="18"/>
  <c r="Q79" i="18"/>
  <c r="R79" i="18"/>
  <c r="P79" i="18"/>
  <c r="M79" i="18"/>
  <c r="L79" i="18"/>
  <c r="J79" i="18"/>
  <c r="AD78" i="18"/>
  <c r="X78" i="18"/>
  <c r="N78" i="18"/>
  <c r="T78" i="18"/>
  <c r="U78" i="18"/>
  <c r="S78" i="18"/>
  <c r="Q78" i="18"/>
  <c r="R78" i="18"/>
  <c r="P78" i="18"/>
  <c r="M78" i="18"/>
  <c r="L78" i="18"/>
  <c r="J78" i="18"/>
  <c r="AD77" i="18"/>
  <c r="X77" i="18"/>
  <c r="N77" i="18"/>
  <c r="T77" i="18"/>
  <c r="U77" i="18"/>
  <c r="S77" i="18"/>
  <c r="Q77" i="18"/>
  <c r="R77" i="18"/>
  <c r="P77" i="18"/>
  <c r="M77" i="18"/>
  <c r="L77" i="18"/>
  <c r="J77" i="18"/>
  <c r="AD76" i="18"/>
  <c r="X76" i="18"/>
  <c r="N76" i="18"/>
  <c r="T76" i="18"/>
  <c r="U76" i="18"/>
  <c r="S76" i="18"/>
  <c r="Q76" i="18"/>
  <c r="R76" i="18"/>
  <c r="P76" i="18"/>
  <c r="M76" i="18"/>
  <c r="L76" i="18"/>
  <c r="J76" i="18"/>
  <c r="AD75" i="18"/>
  <c r="X75" i="18"/>
  <c r="N75" i="18"/>
  <c r="T75" i="18"/>
  <c r="U75" i="18"/>
  <c r="S75" i="18"/>
  <c r="Q75" i="18"/>
  <c r="R75" i="18"/>
  <c r="P75" i="18"/>
  <c r="M75" i="18"/>
  <c r="L75" i="18"/>
  <c r="J75" i="18"/>
  <c r="AD74" i="18"/>
  <c r="X74" i="18"/>
  <c r="N74" i="18"/>
  <c r="T74" i="18"/>
  <c r="U74" i="18"/>
  <c r="S74" i="18"/>
  <c r="Q74" i="18"/>
  <c r="R74" i="18"/>
  <c r="P74" i="18"/>
  <c r="M74" i="18"/>
  <c r="L74" i="18"/>
  <c r="J74" i="18"/>
  <c r="AD73" i="18"/>
  <c r="X73" i="18"/>
  <c r="N73" i="18"/>
  <c r="T73" i="18"/>
  <c r="U73" i="18"/>
  <c r="S73" i="18"/>
  <c r="Q73" i="18"/>
  <c r="R73" i="18"/>
  <c r="P73" i="18"/>
  <c r="M73" i="18"/>
  <c r="L73" i="18"/>
  <c r="J73" i="18"/>
  <c r="AD72" i="18"/>
  <c r="X72" i="18"/>
  <c r="N72" i="18"/>
  <c r="T72" i="18"/>
  <c r="U72" i="18"/>
  <c r="S72" i="18"/>
  <c r="Q72" i="18"/>
  <c r="R72" i="18"/>
  <c r="P72" i="18"/>
  <c r="M72" i="18"/>
  <c r="L72" i="18"/>
  <c r="J72" i="18"/>
  <c r="AD71" i="18"/>
  <c r="X71" i="18"/>
  <c r="N71" i="18"/>
  <c r="T71" i="18"/>
  <c r="U71" i="18"/>
  <c r="S71" i="18"/>
  <c r="Q71" i="18"/>
  <c r="R71" i="18"/>
  <c r="P71" i="18"/>
  <c r="M71" i="18"/>
  <c r="L71" i="18"/>
  <c r="J71" i="18"/>
  <c r="AD70" i="18"/>
  <c r="X70" i="18"/>
  <c r="N70" i="18"/>
  <c r="T70" i="18"/>
  <c r="U70" i="18"/>
  <c r="S70" i="18"/>
  <c r="Q70" i="18"/>
  <c r="R70" i="18"/>
  <c r="P70" i="18"/>
  <c r="O70" i="18"/>
  <c r="M70" i="18"/>
  <c r="L70" i="18"/>
  <c r="J70" i="18"/>
  <c r="AD69" i="18"/>
  <c r="X69" i="18"/>
  <c r="N69" i="18"/>
  <c r="T69" i="18"/>
  <c r="U69" i="18"/>
  <c r="S69" i="18"/>
  <c r="Q69" i="18"/>
  <c r="R69" i="18"/>
  <c r="P69" i="18"/>
  <c r="O69" i="18"/>
  <c r="M69" i="18"/>
  <c r="L69" i="18"/>
  <c r="J69" i="18"/>
  <c r="AD68" i="18"/>
  <c r="X68" i="18"/>
  <c r="N68" i="18"/>
  <c r="T68" i="18"/>
  <c r="U68" i="18"/>
  <c r="S68" i="18"/>
  <c r="Q68" i="18"/>
  <c r="R68" i="18"/>
  <c r="P68" i="18"/>
  <c r="M68" i="18"/>
  <c r="L68" i="18"/>
  <c r="J68" i="18"/>
  <c r="AD67" i="18"/>
  <c r="X67" i="18"/>
  <c r="N67" i="18"/>
  <c r="T67" i="18"/>
  <c r="U67" i="18"/>
  <c r="S67" i="18"/>
  <c r="Q67" i="18"/>
  <c r="R67" i="18"/>
  <c r="P67" i="18"/>
  <c r="M67" i="18"/>
  <c r="L67" i="18"/>
  <c r="J67" i="18"/>
  <c r="AD66" i="18"/>
  <c r="X66" i="18"/>
  <c r="N66" i="18"/>
  <c r="T66" i="18"/>
  <c r="U66" i="18"/>
  <c r="S66" i="18"/>
  <c r="Q66" i="18"/>
  <c r="R66" i="18"/>
  <c r="P66" i="18"/>
  <c r="O66" i="18"/>
  <c r="M66" i="18"/>
  <c r="L66" i="18"/>
  <c r="J66" i="18"/>
  <c r="AD65" i="18"/>
  <c r="X65" i="18"/>
  <c r="N65" i="18"/>
  <c r="T65" i="18"/>
  <c r="U65" i="18"/>
  <c r="S65" i="18"/>
  <c r="Q65" i="18"/>
  <c r="R65" i="18"/>
  <c r="P65" i="18"/>
  <c r="O65" i="18"/>
  <c r="M65" i="18"/>
  <c r="L65" i="18"/>
  <c r="J65" i="18"/>
  <c r="AD64" i="18"/>
  <c r="X64" i="18"/>
  <c r="N64" i="18"/>
  <c r="T64" i="18"/>
  <c r="U64" i="18"/>
  <c r="S64" i="18"/>
  <c r="Q64" i="18"/>
  <c r="R64" i="18"/>
  <c r="P64" i="18"/>
  <c r="O64" i="18"/>
  <c r="M64" i="18"/>
  <c r="L64" i="18"/>
  <c r="J64" i="18"/>
  <c r="AD63" i="18"/>
  <c r="X63" i="18"/>
  <c r="N63" i="18"/>
  <c r="T63" i="18"/>
  <c r="U63" i="18"/>
  <c r="S63" i="18"/>
  <c r="Q63" i="18"/>
  <c r="R63" i="18"/>
  <c r="P63" i="18"/>
  <c r="O63" i="18"/>
  <c r="M63" i="18"/>
  <c r="L63" i="18"/>
  <c r="J63" i="18"/>
  <c r="AD62" i="18"/>
  <c r="X62" i="18"/>
  <c r="N62" i="18"/>
  <c r="T62" i="18"/>
  <c r="U62" i="18"/>
  <c r="S62" i="18"/>
  <c r="Q62" i="18"/>
  <c r="R62" i="18"/>
  <c r="P62" i="18"/>
  <c r="O62" i="18"/>
  <c r="M62" i="18"/>
  <c r="L62" i="18"/>
  <c r="J62" i="18"/>
  <c r="AD61" i="18"/>
  <c r="X61" i="18"/>
  <c r="N61" i="18"/>
  <c r="T61" i="18"/>
  <c r="U61" i="18"/>
  <c r="S61" i="18"/>
  <c r="Q61" i="18"/>
  <c r="R61" i="18"/>
  <c r="P61" i="18"/>
  <c r="O61" i="18"/>
  <c r="M61" i="18"/>
  <c r="L61" i="18"/>
  <c r="J61" i="18"/>
  <c r="AD60" i="18"/>
  <c r="X60" i="18"/>
  <c r="N60" i="18"/>
  <c r="T60" i="18"/>
  <c r="U60" i="18"/>
  <c r="S60" i="18"/>
  <c r="Q60" i="18"/>
  <c r="R60" i="18"/>
  <c r="P60" i="18"/>
  <c r="O60" i="18"/>
  <c r="M60" i="18"/>
  <c r="L60" i="18"/>
  <c r="J60" i="18"/>
  <c r="AD59" i="18"/>
  <c r="X59" i="18"/>
  <c r="N59" i="18"/>
  <c r="T59" i="18"/>
  <c r="U59" i="18"/>
  <c r="S59" i="18"/>
  <c r="Q59" i="18"/>
  <c r="R59" i="18"/>
  <c r="P59" i="18"/>
  <c r="O59" i="18"/>
  <c r="M59" i="18"/>
  <c r="L59" i="18"/>
  <c r="J59" i="18"/>
  <c r="AD58" i="18"/>
  <c r="X58" i="18"/>
  <c r="N58" i="18"/>
  <c r="T58" i="18"/>
  <c r="U58" i="18"/>
  <c r="S58" i="18"/>
  <c r="Q58" i="18"/>
  <c r="R58" i="18"/>
  <c r="P58" i="18"/>
  <c r="O58" i="18"/>
  <c r="M58" i="18"/>
  <c r="L58" i="18"/>
  <c r="J58" i="18"/>
  <c r="AD57" i="18"/>
  <c r="X57" i="18"/>
  <c r="N57" i="18"/>
  <c r="T57" i="18"/>
  <c r="U57" i="18"/>
  <c r="S57" i="18"/>
  <c r="Q57" i="18"/>
  <c r="R57" i="18"/>
  <c r="P57" i="18"/>
  <c r="O57" i="18"/>
  <c r="M57" i="18"/>
  <c r="L57" i="18"/>
  <c r="J57" i="18"/>
  <c r="AD56" i="18"/>
  <c r="X56" i="18"/>
  <c r="N56" i="18"/>
  <c r="T56" i="18"/>
  <c r="U56" i="18"/>
  <c r="S56" i="18"/>
  <c r="Q56" i="18"/>
  <c r="R56" i="18"/>
  <c r="P56" i="18"/>
  <c r="O56" i="18"/>
  <c r="M56" i="18"/>
  <c r="L56" i="18"/>
  <c r="J56" i="18"/>
  <c r="AD55" i="18"/>
  <c r="X55" i="18"/>
  <c r="N55" i="18"/>
  <c r="T55" i="18"/>
  <c r="U55" i="18"/>
  <c r="S55" i="18"/>
  <c r="Q55" i="18"/>
  <c r="R55" i="18"/>
  <c r="P55" i="18"/>
  <c r="O55" i="18"/>
  <c r="M55" i="18"/>
  <c r="L55" i="18"/>
  <c r="J55" i="18"/>
  <c r="AD54" i="18"/>
  <c r="X54" i="18"/>
  <c r="N54" i="18"/>
  <c r="T54" i="18"/>
  <c r="U54" i="18"/>
  <c r="S54" i="18"/>
  <c r="Q54" i="18"/>
  <c r="R54" i="18"/>
  <c r="P54" i="18"/>
  <c r="O54" i="18"/>
  <c r="M54" i="18"/>
  <c r="L54" i="18"/>
  <c r="J54" i="18"/>
  <c r="AD53" i="18"/>
  <c r="X53" i="18"/>
  <c r="N53" i="18"/>
  <c r="T53" i="18"/>
  <c r="U53" i="18"/>
  <c r="S53" i="18"/>
  <c r="Q53" i="18"/>
  <c r="R53" i="18"/>
  <c r="P53" i="18"/>
  <c r="O53" i="18"/>
  <c r="M53" i="18"/>
  <c r="L53" i="18"/>
  <c r="J53" i="18"/>
  <c r="AD52" i="18"/>
  <c r="X52" i="18"/>
  <c r="N52" i="18"/>
  <c r="T52" i="18"/>
  <c r="U52" i="18"/>
  <c r="S52" i="18"/>
  <c r="Q52" i="18"/>
  <c r="R52" i="18"/>
  <c r="P52" i="18"/>
  <c r="O52" i="18"/>
  <c r="M52" i="18"/>
  <c r="L52" i="18"/>
  <c r="J52" i="18"/>
  <c r="AD51" i="18"/>
  <c r="X51" i="18"/>
  <c r="N51" i="18"/>
  <c r="T51" i="18"/>
  <c r="U51" i="18"/>
  <c r="S51" i="18"/>
  <c r="Q51" i="18"/>
  <c r="R51" i="18"/>
  <c r="P51" i="18"/>
  <c r="O51" i="18"/>
  <c r="M51" i="18"/>
  <c r="L51" i="18"/>
  <c r="J51" i="18"/>
  <c r="AD50" i="18"/>
  <c r="X50" i="18"/>
  <c r="N50" i="18"/>
  <c r="T50" i="18"/>
  <c r="U50" i="18"/>
  <c r="S50" i="18"/>
  <c r="Q50" i="18"/>
  <c r="R50" i="18"/>
  <c r="P50" i="18"/>
  <c r="O50" i="18"/>
  <c r="M50" i="18"/>
  <c r="L50" i="18"/>
  <c r="J50" i="18"/>
  <c r="AC49" i="18"/>
  <c r="AD49" i="18"/>
  <c r="W49" i="18"/>
  <c r="X49" i="18"/>
  <c r="U49" i="18"/>
  <c r="T49" i="18"/>
  <c r="S49" i="18"/>
  <c r="R49" i="18"/>
  <c r="Q49" i="18"/>
  <c r="P49" i="18"/>
  <c r="N49" i="18"/>
  <c r="M49" i="18"/>
  <c r="L49" i="18"/>
  <c r="K49" i="18"/>
  <c r="J49" i="18"/>
  <c r="G49" i="18"/>
  <c r="AD48" i="18"/>
  <c r="X48" i="18"/>
  <c r="N48" i="18"/>
  <c r="T48" i="18"/>
  <c r="U48" i="18"/>
  <c r="S48" i="18"/>
  <c r="Q48" i="18"/>
  <c r="R48" i="18"/>
  <c r="P48" i="18"/>
  <c r="K71" i="13"/>
  <c r="O47" i="18" s="1"/>
  <c r="M48" i="18"/>
  <c r="L48" i="18"/>
  <c r="J48" i="18"/>
  <c r="AD47" i="18"/>
  <c r="X47" i="18"/>
  <c r="N47" i="18"/>
  <c r="T47" i="18"/>
  <c r="U47" i="18"/>
  <c r="S47" i="18"/>
  <c r="Q47" i="18"/>
  <c r="R47" i="18"/>
  <c r="P47" i="18"/>
  <c r="M47" i="18"/>
  <c r="L47" i="18"/>
  <c r="J47" i="18"/>
  <c r="AD46" i="18"/>
  <c r="X46" i="18"/>
  <c r="N46" i="18"/>
  <c r="T46" i="18"/>
  <c r="U46" i="18"/>
  <c r="S46" i="18"/>
  <c r="Q46" i="18"/>
  <c r="R46" i="18"/>
  <c r="P46" i="18"/>
  <c r="M46" i="18"/>
  <c r="L46" i="18"/>
  <c r="J46" i="18"/>
  <c r="AD45" i="18"/>
  <c r="X45" i="18"/>
  <c r="N45" i="18"/>
  <c r="T45" i="18"/>
  <c r="U45" i="18"/>
  <c r="S45" i="18"/>
  <c r="Q45" i="18"/>
  <c r="R45" i="18"/>
  <c r="P45" i="18"/>
  <c r="M45" i="18"/>
  <c r="L45" i="18"/>
  <c r="J45" i="18"/>
  <c r="AD44" i="18"/>
  <c r="X44" i="18"/>
  <c r="N44" i="18"/>
  <c r="T44" i="18"/>
  <c r="U44" i="18"/>
  <c r="S44" i="18"/>
  <c r="Q44" i="18"/>
  <c r="R44" i="18"/>
  <c r="P44" i="18"/>
  <c r="M44" i="18"/>
  <c r="L44" i="18"/>
  <c r="J44" i="18"/>
  <c r="AD43" i="18"/>
  <c r="X43" i="18"/>
  <c r="N43" i="18"/>
  <c r="T43" i="18"/>
  <c r="U43" i="18"/>
  <c r="S43" i="18"/>
  <c r="Q43" i="18"/>
  <c r="R43" i="18"/>
  <c r="P43" i="18"/>
  <c r="M43" i="18"/>
  <c r="L43" i="18"/>
  <c r="J43" i="18"/>
  <c r="AD42" i="18"/>
  <c r="X42" i="18"/>
  <c r="N42" i="18"/>
  <c r="T42" i="18"/>
  <c r="U42" i="18"/>
  <c r="S42" i="18"/>
  <c r="Q42" i="18"/>
  <c r="R42" i="18"/>
  <c r="P42" i="18"/>
  <c r="M42" i="18"/>
  <c r="L42" i="18"/>
  <c r="J42" i="18"/>
  <c r="AD41" i="18"/>
  <c r="X41" i="18"/>
  <c r="N41" i="18"/>
  <c r="T41" i="18"/>
  <c r="U41" i="18"/>
  <c r="S41" i="18"/>
  <c r="Q41" i="18"/>
  <c r="R41" i="18"/>
  <c r="P41" i="18"/>
  <c r="M41" i="18"/>
  <c r="L41" i="18"/>
  <c r="J41" i="18"/>
  <c r="AD40" i="18"/>
  <c r="X40" i="18"/>
  <c r="N40" i="18"/>
  <c r="T40" i="18"/>
  <c r="U40" i="18"/>
  <c r="S40" i="18"/>
  <c r="Q40" i="18"/>
  <c r="R40" i="18"/>
  <c r="P40" i="18"/>
  <c r="O40" i="18"/>
  <c r="M40" i="18"/>
  <c r="L40" i="18"/>
  <c r="J40" i="18"/>
  <c r="AC39" i="18"/>
  <c r="AD39" i="18"/>
  <c r="W39" i="18"/>
  <c r="X39" i="18"/>
  <c r="U39" i="18"/>
  <c r="T39" i="18"/>
  <c r="S39" i="18"/>
  <c r="R39" i="18"/>
  <c r="Q39" i="18"/>
  <c r="P39" i="18"/>
  <c r="N39" i="18"/>
  <c r="M39" i="18"/>
  <c r="L39" i="18"/>
  <c r="K39" i="18"/>
  <c r="J39" i="18"/>
  <c r="G39" i="18"/>
  <c r="AD38" i="18"/>
  <c r="X38" i="18"/>
  <c r="N38" i="18"/>
  <c r="T38" i="18"/>
  <c r="U38" i="18"/>
  <c r="S38" i="18"/>
  <c r="Q38" i="18"/>
  <c r="R38" i="18"/>
  <c r="P38" i="18"/>
  <c r="K74" i="13"/>
  <c r="O36" i="18" s="1"/>
  <c r="M38" i="18"/>
  <c r="L38" i="18"/>
  <c r="J38" i="18"/>
  <c r="AD37" i="18"/>
  <c r="X37" i="18"/>
  <c r="N37" i="18"/>
  <c r="T37" i="18"/>
  <c r="U37" i="18"/>
  <c r="S37" i="18"/>
  <c r="Q37" i="18"/>
  <c r="R37" i="18"/>
  <c r="P37" i="18"/>
  <c r="M37" i="18"/>
  <c r="L37" i="18"/>
  <c r="J37" i="18"/>
  <c r="AD36" i="18"/>
  <c r="X36" i="18"/>
  <c r="N36" i="18"/>
  <c r="T36" i="18"/>
  <c r="U36" i="18"/>
  <c r="S36" i="18"/>
  <c r="Q36" i="18"/>
  <c r="R36" i="18"/>
  <c r="P36" i="18"/>
  <c r="M36" i="18"/>
  <c r="L36" i="18"/>
  <c r="J36" i="18"/>
  <c r="AD35" i="18"/>
  <c r="X35" i="18"/>
  <c r="N35" i="18"/>
  <c r="T35" i="18"/>
  <c r="U35" i="18"/>
  <c r="S35" i="18"/>
  <c r="Q35" i="18"/>
  <c r="R35" i="18"/>
  <c r="P35" i="18"/>
  <c r="M35" i="18"/>
  <c r="L35" i="18"/>
  <c r="J35" i="18"/>
  <c r="AD34" i="18"/>
  <c r="X34" i="18"/>
  <c r="N34" i="18"/>
  <c r="T34" i="18"/>
  <c r="U34" i="18"/>
  <c r="S34" i="18"/>
  <c r="Q34" i="18"/>
  <c r="R34" i="18"/>
  <c r="P34" i="18"/>
  <c r="M34" i="18"/>
  <c r="L34" i="18"/>
  <c r="J34" i="18"/>
  <c r="AD33" i="18"/>
  <c r="X33" i="18"/>
  <c r="N33" i="18"/>
  <c r="T33" i="18"/>
  <c r="U33" i="18"/>
  <c r="S33" i="18"/>
  <c r="Q33" i="18"/>
  <c r="R33" i="18"/>
  <c r="P33" i="18"/>
  <c r="M33" i="18"/>
  <c r="L33" i="18"/>
  <c r="J33" i="18"/>
  <c r="AD32" i="18"/>
  <c r="X32" i="18"/>
  <c r="N32" i="18"/>
  <c r="T32" i="18"/>
  <c r="U32" i="18"/>
  <c r="S32" i="18"/>
  <c r="Q32" i="18"/>
  <c r="R32" i="18"/>
  <c r="P32" i="18"/>
  <c r="M32" i="18"/>
  <c r="L32" i="18"/>
  <c r="J32" i="18"/>
  <c r="AD31" i="18"/>
  <c r="X31" i="18"/>
  <c r="N31" i="18"/>
  <c r="T31" i="18"/>
  <c r="U31" i="18"/>
  <c r="S31" i="18"/>
  <c r="Q31" i="18"/>
  <c r="R31" i="18"/>
  <c r="P31" i="18"/>
  <c r="M31" i="18"/>
  <c r="L31" i="18"/>
  <c r="J31" i="18"/>
  <c r="AD30" i="18"/>
  <c r="X30" i="18"/>
  <c r="N30" i="18"/>
  <c r="T30" i="18"/>
  <c r="U30" i="18"/>
  <c r="S30" i="18"/>
  <c r="Q30" i="18"/>
  <c r="R30" i="18"/>
  <c r="P30" i="18"/>
  <c r="M30" i="18"/>
  <c r="L30" i="18"/>
  <c r="J30" i="18"/>
  <c r="AD29" i="18"/>
  <c r="X29" i="18"/>
  <c r="N29" i="18"/>
  <c r="T29" i="18"/>
  <c r="U29" i="18"/>
  <c r="S29" i="18"/>
  <c r="Q29" i="18"/>
  <c r="R29" i="18"/>
  <c r="P29" i="18"/>
  <c r="M29" i="18"/>
  <c r="L29" i="18"/>
  <c r="J29" i="18"/>
  <c r="AD28" i="18"/>
  <c r="X28" i="18"/>
  <c r="N28" i="18"/>
  <c r="T28" i="18"/>
  <c r="U28" i="18"/>
  <c r="S28" i="18"/>
  <c r="Q28" i="18"/>
  <c r="R28" i="18"/>
  <c r="P28" i="18"/>
  <c r="M28" i="18"/>
  <c r="L28" i="18"/>
  <c r="J28" i="18"/>
  <c r="AC27" i="18"/>
  <c r="AD27" i="18"/>
  <c r="W27" i="18"/>
  <c r="X27" i="18"/>
  <c r="U27" i="18"/>
  <c r="T27" i="18"/>
  <c r="S27" i="18"/>
  <c r="R27" i="18"/>
  <c r="Q27" i="18"/>
  <c r="P27" i="18"/>
  <c r="N27" i="18"/>
  <c r="M27" i="18"/>
  <c r="L27" i="18"/>
  <c r="K27" i="18"/>
  <c r="J27" i="18"/>
  <c r="G27" i="18"/>
  <c r="N26" i="18"/>
  <c r="K78" i="13"/>
  <c r="O20" i="18" s="1"/>
  <c r="M26" i="18"/>
  <c r="K26" i="18"/>
  <c r="L26" i="18"/>
  <c r="J26" i="18"/>
  <c r="I25" i="18"/>
  <c r="N25" i="18"/>
  <c r="M25" i="18"/>
  <c r="K25" i="18"/>
  <c r="L25" i="18"/>
  <c r="J25" i="18"/>
  <c r="AC24" i="18"/>
  <c r="AD24" i="18"/>
  <c r="W24" i="18"/>
  <c r="X24" i="18"/>
  <c r="N24" i="18"/>
  <c r="M24" i="18"/>
  <c r="L24" i="18"/>
  <c r="K24" i="18"/>
  <c r="J24" i="18"/>
  <c r="I24" i="18"/>
  <c r="G24" i="18"/>
  <c r="Q23" i="18"/>
  <c r="AC22" i="18"/>
  <c r="AD22" i="18"/>
  <c r="W22" i="18"/>
  <c r="X22" i="18"/>
  <c r="H22" i="18"/>
  <c r="I22" i="18"/>
  <c r="N22" i="18"/>
  <c r="M22" i="18"/>
  <c r="K22" i="18"/>
  <c r="L22" i="18"/>
  <c r="J22" i="18"/>
  <c r="AC21" i="18"/>
  <c r="AD21" i="18"/>
  <c r="W21" i="18"/>
  <c r="X21" i="18"/>
  <c r="H21" i="18"/>
  <c r="I21" i="18"/>
  <c r="N21" i="18"/>
  <c r="M21" i="18"/>
  <c r="K21" i="18"/>
  <c r="L21" i="18"/>
  <c r="J21" i="18"/>
  <c r="AF20" i="18"/>
  <c r="AC20" i="18"/>
  <c r="AD20" i="18"/>
  <c r="Z20" i="18"/>
  <c r="W20" i="18"/>
  <c r="X20" i="18"/>
  <c r="H20" i="18"/>
  <c r="I20" i="18"/>
  <c r="N20" i="18"/>
  <c r="M20" i="18"/>
  <c r="K20" i="18"/>
  <c r="L20" i="18"/>
  <c r="J20" i="18"/>
  <c r="Z19" i="18"/>
  <c r="AA19" i="18"/>
  <c r="AF19" i="18"/>
  <c r="AG19" i="18"/>
  <c r="AC19" i="18"/>
  <c r="AD19" i="18"/>
  <c r="W19" i="18"/>
  <c r="X19" i="18"/>
  <c r="H19" i="18"/>
  <c r="I19" i="18"/>
  <c r="N19" i="18"/>
  <c r="M19" i="18"/>
  <c r="K19" i="18"/>
  <c r="L19" i="18"/>
  <c r="J19" i="18"/>
  <c r="AC17" i="18"/>
  <c r="AD17" i="18"/>
  <c r="W17" i="18"/>
  <c r="X17" i="18"/>
  <c r="F17" i="18"/>
  <c r="H17" i="18"/>
  <c r="I17" i="18"/>
  <c r="N17" i="18"/>
  <c r="M17" i="18"/>
  <c r="K17" i="18"/>
  <c r="L17" i="18"/>
  <c r="J17" i="18"/>
  <c r="AC16" i="18"/>
  <c r="AD16" i="18"/>
  <c r="W16" i="18"/>
  <c r="X16" i="18"/>
  <c r="F16" i="18"/>
  <c r="H16" i="18"/>
  <c r="I16" i="18"/>
  <c r="N16" i="18"/>
  <c r="M16" i="18"/>
  <c r="K16" i="18"/>
  <c r="L16" i="18"/>
  <c r="J16" i="18"/>
  <c r="AC15" i="18"/>
  <c r="AD15" i="18"/>
  <c r="W15" i="18"/>
  <c r="X15" i="18"/>
  <c r="F15" i="18"/>
  <c r="H15" i="18"/>
  <c r="I15" i="18"/>
  <c r="N15" i="18"/>
  <c r="M15" i="18"/>
  <c r="K15" i="18"/>
  <c r="L15" i="18"/>
  <c r="J15" i="18"/>
  <c r="AC14" i="18"/>
  <c r="AD14" i="18"/>
  <c r="W14" i="18"/>
  <c r="X14" i="18"/>
  <c r="F14" i="18"/>
  <c r="H14" i="18"/>
  <c r="I14" i="18"/>
  <c r="N14" i="18"/>
  <c r="M14" i="18"/>
  <c r="K14" i="18"/>
  <c r="L14" i="18"/>
  <c r="J14" i="18"/>
  <c r="AC13" i="18"/>
  <c r="AD13" i="18"/>
  <c r="W13" i="18"/>
  <c r="X13" i="18"/>
  <c r="F13" i="18"/>
  <c r="H13" i="18"/>
  <c r="I13" i="18"/>
  <c r="N13" i="18"/>
  <c r="M13" i="18"/>
  <c r="K13" i="18"/>
  <c r="L13" i="18"/>
  <c r="J13" i="18"/>
  <c r="AC12" i="18"/>
  <c r="AD12" i="18"/>
  <c r="W12" i="18"/>
  <c r="X12" i="18"/>
  <c r="F12" i="18"/>
  <c r="H12" i="18"/>
  <c r="I12" i="18"/>
  <c r="N12" i="18"/>
  <c r="M12" i="18"/>
  <c r="K12" i="18"/>
  <c r="L12" i="18"/>
  <c r="J12" i="18"/>
  <c r="AC11" i="18"/>
  <c r="AD11" i="18"/>
  <c r="W11" i="18"/>
  <c r="X11" i="18"/>
  <c r="F11" i="18"/>
  <c r="H11" i="18"/>
  <c r="I11" i="18"/>
  <c r="N11" i="18"/>
  <c r="M11" i="18"/>
  <c r="K11" i="18"/>
  <c r="L11" i="18"/>
  <c r="J11" i="18"/>
  <c r="AC9" i="18"/>
  <c r="AD9" i="18"/>
  <c r="W9" i="18"/>
  <c r="X9" i="18"/>
  <c r="H9" i="18"/>
  <c r="I9" i="18"/>
  <c r="N9" i="18"/>
  <c r="M9" i="18"/>
  <c r="K9" i="18"/>
  <c r="L9" i="18"/>
  <c r="J9" i="18"/>
  <c r="AC8" i="18"/>
  <c r="AD8" i="18"/>
  <c r="W8" i="18"/>
  <c r="X8" i="18"/>
  <c r="H8" i="18"/>
  <c r="I8" i="18"/>
  <c r="N8" i="18"/>
  <c r="M8" i="18"/>
  <c r="K8" i="18"/>
  <c r="L8" i="18"/>
  <c r="J8" i="18"/>
  <c r="AF7" i="18"/>
  <c r="AC7" i="18"/>
  <c r="AD7" i="18"/>
  <c r="Z7" i="18"/>
  <c r="W7" i="18"/>
  <c r="X7" i="18"/>
  <c r="H7" i="18"/>
  <c r="I7" i="18"/>
  <c r="N7" i="18"/>
  <c r="M7" i="18"/>
  <c r="K7" i="18"/>
  <c r="L7" i="18"/>
  <c r="J7" i="18"/>
  <c r="Z6" i="18"/>
  <c r="AA6" i="18"/>
  <c r="AF6" i="18"/>
  <c r="AG6" i="18"/>
  <c r="AC6" i="18"/>
  <c r="AD6" i="18"/>
  <c r="W6" i="18"/>
  <c r="X6" i="18"/>
  <c r="H6" i="18"/>
  <c r="I6" i="18"/>
  <c r="N6" i="18"/>
  <c r="M6" i="18"/>
  <c r="K6" i="18"/>
  <c r="L6" i="18"/>
  <c r="J6" i="18"/>
  <c r="C6" i="17"/>
  <c r="C7" i="17"/>
  <c r="C8" i="17"/>
  <c r="C9" i="17"/>
  <c r="C10" i="17"/>
  <c r="C11" i="17"/>
  <c r="H8" i="15"/>
  <c r="G8" i="15"/>
  <c r="H6" i="15"/>
  <c r="G6" i="15"/>
  <c r="H2" i="13"/>
  <c r="H3" i="13"/>
  <c r="H4" i="13"/>
  <c r="H5" i="13"/>
  <c r="H6" i="13"/>
  <c r="H7" i="13"/>
  <c r="H8" i="13"/>
  <c r="H9" i="13"/>
  <c r="H10" i="13"/>
  <c r="H11" i="13"/>
  <c r="H12" i="13"/>
  <c r="H13" i="13"/>
  <c r="H14" i="13"/>
  <c r="H15" i="13"/>
  <c r="H16" i="13"/>
  <c r="H17" i="13"/>
  <c r="H18" i="13"/>
  <c r="H19" i="13"/>
  <c r="H20" i="13"/>
  <c r="H21" i="13"/>
  <c r="H22" i="13"/>
  <c r="H23" i="13"/>
  <c r="H24" i="13"/>
  <c r="H25" i="13"/>
  <c r="H26" i="13"/>
  <c r="H27" i="13"/>
  <c r="H28" i="13"/>
  <c r="H29" i="13"/>
  <c r="H30" i="13"/>
  <c r="H31" i="13"/>
  <c r="H32" i="13"/>
  <c r="H33" i="13"/>
  <c r="H34" i="13"/>
  <c r="H35" i="13"/>
  <c r="H36" i="13"/>
  <c r="H37" i="13"/>
  <c r="H38" i="13"/>
  <c r="H39" i="13"/>
  <c r="H40" i="13"/>
  <c r="H41" i="13"/>
  <c r="H42" i="13"/>
  <c r="H43" i="13"/>
  <c r="H44" i="13"/>
  <c r="H45" i="13"/>
  <c r="H46" i="13"/>
  <c r="H47" i="13"/>
  <c r="H48" i="13"/>
  <c r="H49" i="13"/>
  <c r="H50" i="13"/>
  <c r="H51" i="13"/>
  <c r="H52" i="13"/>
  <c r="H53" i="13"/>
  <c r="H54" i="13"/>
  <c r="H55" i="13"/>
  <c r="H56" i="13"/>
  <c r="H57" i="13"/>
  <c r="H58" i="13"/>
  <c r="H59" i="13"/>
  <c r="H61" i="13"/>
  <c r="N74" i="13"/>
  <c r="Q74" i="13"/>
  <c r="U38" i="8"/>
  <c r="U37" i="8"/>
  <c r="U36" i="8"/>
  <c r="U35" i="8"/>
  <c r="U34" i="8"/>
  <c r="U33" i="8"/>
  <c r="U32" i="8"/>
  <c r="U31" i="8"/>
  <c r="U30" i="8"/>
  <c r="U29" i="8"/>
  <c r="S38" i="8"/>
  <c r="S37" i="8"/>
  <c r="S36" i="8"/>
  <c r="S35" i="8"/>
  <c r="S34" i="8"/>
  <c r="S33" i="8"/>
  <c r="S32" i="8"/>
  <c r="S31" i="8"/>
  <c r="S30" i="8"/>
  <c r="S29" i="8"/>
  <c r="S28" i="8"/>
  <c r="N78" i="13"/>
  <c r="Q78" i="13"/>
  <c r="N77" i="13"/>
  <c r="Q77" i="13"/>
  <c r="N76" i="13"/>
  <c r="Q76" i="13"/>
  <c r="N75" i="13"/>
  <c r="Q75" i="13"/>
  <c r="N73" i="13"/>
  <c r="Q73" i="13"/>
  <c r="N72" i="13"/>
  <c r="Q72" i="13"/>
  <c r="N71" i="13"/>
  <c r="Q71" i="13"/>
  <c r="R27" i="8"/>
  <c r="P27" i="8"/>
  <c r="Q27" i="8"/>
  <c r="R39" i="8"/>
  <c r="P39" i="8"/>
  <c r="Q39" i="8"/>
  <c r="R49" i="8"/>
  <c r="P49" i="8"/>
  <c r="Q49" i="8"/>
  <c r="R81" i="8"/>
  <c r="P81" i="8"/>
  <c r="Q81" i="8"/>
  <c r="R90" i="8"/>
  <c r="P90" i="8"/>
  <c r="Q90" i="8"/>
  <c r="R110" i="8"/>
  <c r="P110" i="8"/>
  <c r="Q110" i="8"/>
  <c r="P147" i="8"/>
  <c r="R147" i="8"/>
  <c r="Q147" i="8"/>
  <c r="R148" i="8"/>
  <c r="P148" i="8"/>
  <c r="R146" i="8"/>
  <c r="R145" i="8"/>
  <c r="R144" i="8"/>
  <c r="R143" i="8"/>
  <c r="R142" i="8"/>
  <c r="R141" i="8"/>
  <c r="R140" i="8"/>
  <c r="R139" i="8"/>
  <c r="R138" i="8"/>
  <c r="R137" i="8"/>
  <c r="R136" i="8"/>
  <c r="R135" i="8"/>
  <c r="R134" i="8"/>
  <c r="R133" i="8"/>
  <c r="R132" i="8"/>
  <c r="R131" i="8"/>
  <c r="R130" i="8"/>
  <c r="R129" i="8"/>
  <c r="R128" i="8"/>
  <c r="R127" i="8"/>
  <c r="R126" i="8"/>
  <c r="R125" i="8"/>
  <c r="R124" i="8"/>
  <c r="R123" i="8"/>
  <c r="R122" i="8"/>
  <c r="R121" i="8"/>
  <c r="R120" i="8"/>
  <c r="R119" i="8"/>
  <c r="R118" i="8"/>
  <c r="R117" i="8"/>
  <c r="R116" i="8"/>
  <c r="R115" i="8"/>
  <c r="R114" i="8"/>
  <c r="R113" i="8"/>
  <c r="R112" i="8"/>
  <c r="R111" i="8"/>
  <c r="P146" i="8"/>
  <c r="P145" i="8"/>
  <c r="P144" i="8"/>
  <c r="P143" i="8"/>
  <c r="P142" i="8"/>
  <c r="P141" i="8"/>
  <c r="P140" i="8"/>
  <c r="P139" i="8"/>
  <c r="P138" i="8"/>
  <c r="P137" i="8"/>
  <c r="P136" i="8"/>
  <c r="P135" i="8"/>
  <c r="P134" i="8"/>
  <c r="P133" i="8"/>
  <c r="P132" i="8"/>
  <c r="P131" i="8"/>
  <c r="P130" i="8"/>
  <c r="P129" i="8"/>
  <c r="P128" i="8"/>
  <c r="P127" i="8"/>
  <c r="P126" i="8"/>
  <c r="P125" i="8"/>
  <c r="P124" i="8"/>
  <c r="P123" i="8"/>
  <c r="P122" i="8"/>
  <c r="P121" i="8"/>
  <c r="P120" i="8"/>
  <c r="P119" i="8"/>
  <c r="P118" i="8"/>
  <c r="P117" i="8"/>
  <c r="P116" i="8"/>
  <c r="P115" i="8"/>
  <c r="P114" i="8"/>
  <c r="P113" i="8"/>
  <c r="P112" i="8"/>
  <c r="P111" i="8"/>
  <c r="R109" i="8"/>
  <c r="R108" i="8"/>
  <c r="R107" i="8"/>
  <c r="R106" i="8"/>
  <c r="R105" i="8"/>
  <c r="R104" i="8"/>
  <c r="R103" i="8"/>
  <c r="R102" i="8"/>
  <c r="R101" i="8"/>
  <c r="R100" i="8"/>
  <c r="R99" i="8"/>
  <c r="R98" i="8"/>
  <c r="R97" i="8"/>
  <c r="R96" i="8"/>
  <c r="R95" i="8"/>
  <c r="R94" i="8"/>
  <c r="R93" i="8"/>
  <c r="R92" i="8"/>
  <c r="R91" i="8"/>
  <c r="P109" i="8"/>
  <c r="P108" i="8"/>
  <c r="P107" i="8"/>
  <c r="P106" i="8"/>
  <c r="P105" i="8"/>
  <c r="P104" i="8"/>
  <c r="P103" i="8"/>
  <c r="P102" i="8"/>
  <c r="P101" i="8"/>
  <c r="P100" i="8"/>
  <c r="P99" i="8"/>
  <c r="P98" i="8"/>
  <c r="P97" i="8"/>
  <c r="P96" i="8"/>
  <c r="P95" i="8"/>
  <c r="P94" i="8"/>
  <c r="P93" i="8"/>
  <c r="P92" i="8"/>
  <c r="P91" i="8"/>
  <c r="R89" i="8"/>
  <c r="R88" i="8"/>
  <c r="R87" i="8"/>
  <c r="R86" i="8"/>
  <c r="R85" i="8"/>
  <c r="R84" i="8"/>
  <c r="R83" i="8"/>
  <c r="R82" i="8"/>
  <c r="P89" i="8"/>
  <c r="P88" i="8"/>
  <c r="P87" i="8"/>
  <c r="P86" i="8"/>
  <c r="P85" i="8"/>
  <c r="P84" i="8"/>
  <c r="P83" i="8"/>
  <c r="P82" i="8"/>
  <c r="R80" i="8"/>
  <c r="R79" i="8"/>
  <c r="R78" i="8"/>
  <c r="R77" i="8"/>
  <c r="R76" i="8"/>
  <c r="R75" i="8"/>
  <c r="R74" i="8"/>
  <c r="R73" i="8"/>
  <c r="R72" i="8"/>
  <c r="R71" i="8"/>
  <c r="R70" i="8"/>
  <c r="R69" i="8"/>
  <c r="R68" i="8"/>
  <c r="R67" i="8"/>
  <c r="R66" i="8"/>
  <c r="R65" i="8"/>
  <c r="R64" i="8"/>
  <c r="R63" i="8"/>
  <c r="R62" i="8"/>
  <c r="R61" i="8"/>
  <c r="R60" i="8"/>
  <c r="R59" i="8"/>
  <c r="R58" i="8"/>
  <c r="R57" i="8"/>
  <c r="R56" i="8"/>
  <c r="R55" i="8"/>
  <c r="R54" i="8"/>
  <c r="R53" i="8"/>
  <c r="R52" i="8"/>
  <c r="R51" i="8"/>
  <c r="R50" i="8"/>
  <c r="P80" i="8"/>
  <c r="P79" i="8"/>
  <c r="P78" i="8"/>
  <c r="P77" i="8"/>
  <c r="P76" i="8"/>
  <c r="P75" i="8"/>
  <c r="P74" i="8"/>
  <c r="P73" i="8"/>
  <c r="P72" i="8"/>
  <c r="P71" i="8"/>
  <c r="P70" i="8"/>
  <c r="P69" i="8"/>
  <c r="P68" i="8"/>
  <c r="P67" i="8"/>
  <c r="P66" i="8"/>
  <c r="P65" i="8"/>
  <c r="P64" i="8"/>
  <c r="P63" i="8"/>
  <c r="P62" i="8"/>
  <c r="P61" i="8"/>
  <c r="P60" i="8"/>
  <c r="P59" i="8"/>
  <c r="P58" i="8"/>
  <c r="P57" i="8"/>
  <c r="P56" i="8"/>
  <c r="P55" i="8"/>
  <c r="P54" i="8"/>
  <c r="P53" i="8"/>
  <c r="P52" i="8"/>
  <c r="P51" i="8"/>
  <c r="P50" i="8"/>
  <c r="R48" i="8"/>
  <c r="R47" i="8"/>
  <c r="R46" i="8"/>
  <c r="R45" i="8"/>
  <c r="R44" i="8"/>
  <c r="R43" i="8"/>
  <c r="R42" i="8"/>
  <c r="R41" i="8"/>
  <c r="R40" i="8"/>
  <c r="R38" i="8"/>
  <c r="R37" i="8"/>
  <c r="R36" i="8"/>
  <c r="R35" i="8"/>
  <c r="R34" i="8"/>
  <c r="R33" i="8"/>
  <c r="R32" i="8"/>
  <c r="R31" i="8"/>
  <c r="R30" i="8"/>
  <c r="R29" i="8"/>
  <c r="R28" i="8"/>
  <c r="P48" i="8"/>
  <c r="P47" i="8"/>
  <c r="P46" i="8"/>
  <c r="P45" i="8"/>
  <c r="P44" i="8"/>
  <c r="P43" i="8"/>
  <c r="P42" i="8"/>
  <c r="P41" i="8"/>
  <c r="P40" i="8"/>
  <c r="P38" i="8"/>
  <c r="P37" i="8"/>
  <c r="P36" i="8"/>
  <c r="P35" i="8"/>
  <c r="P34" i="8"/>
  <c r="P33" i="8"/>
  <c r="P32" i="8"/>
  <c r="P31" i="8"/>
  <c r="P30" i="8"/>
  <c r="P29" i="8"/>
  <c r="P28" i="8"/>
  <c r="AK23" i="14"/>
  <c r="R77" i="10"/>
  <c r="O77" i="10"/>
  <c r="N25" i="8"/>
  <c r="N26" i="8"/>
  <c r="N24" i="8"/>
  <c r="H78" i="13"/>
  <c r="N28" i="8"/>
  <c r="N29" i="8"/>
  <c r="N30" i="8"/>
  <c r="N31" i="8"/>
  <c r="N32" i="8"/>
  <c r="N33" i="8"/>
  <c r="N34" i="8"/>
  <c r="N35" i="8"/>
  <c r="N36" i="8"/>
  <c r="N37" i="8"/>
  <c r="N38" i="8"/>
  <c r="N27" i="8"/>
  <c r="H74" i="13"/>
  <c r="N40" i="8"/>
  <c r="N39" i="8"/>
  <c r="H71" i="13"/>
  <c r="O40" i="8"/>
  <c r="O41" i="8"/>
  <c r="O42" i="8"/>
  <c r="O43" i="8"/>
  <c r="O44" i="8"/>
  <c r="O45" i="8"/>
  <c r="O46" i="8"/>
  <c r="O47" i="8"/>
  <c r="O48" i="8"/>
  <c r="H77" i="13"/>
  <c r="O148" i="8"/>
  <c r="O147" i="8" s="1"/>
  <c r="M148" i="8"/>
  <c r="H76" i="13"/>
  <c r="O146" i="8"/>
  <c r="O145" i="8"/>
  <c r="O144" i="8"/>
  <c r="O143" i="8"/>
  <c r="O142" i="8"/>
  <c r="O141" i="8"/>
  <c r="O140" i="8"/>
  <c r="O139" i="8"/>
  <c r="O138" i="8"/>
  <c r="O137" i="8"/>
  <c r="O136" i="8"/>
  <c r="O135" i="8"/>
  <c r="O134" i="8"/>
  <c r="O133" i="8"/>
  <c r="O132" i="8"/>
  <c r="O131" i="8"/>
  <c r="O130" i="8"/>
  <c r="O129" i="8"/>
  <c r="O128" i="8"/>
  <c r="O127" i="8"/>
  <c r="O126" i="8"/>
  <c r="O125" i="8"/>
  <c r="O124" i="8"/>
  <c r="O123" i="8"/>
  <c r="O122" i="8"/>
  <c r="O121" i="8"/>
  <c r="O120" i="8"/>
  <c r="O119" i="8"/>
  <c r="O118" i="8"/>
  <c r="O117" i="8"/>
  <c r="O116" i="8"/>
  <c r="O115" i="8"/>
  <c r="O114" i="8"/>
  <c r="O113" i="8"/>
  <c r="O112" i="8"/>
  <c r="O111" i="8"/>
  <c r="M146" i="8"/>
  <c r="M145" i="8"/>
  <c r="M144" i="8"/>
  <c r="M143" i="8"/>
  <c r="M142" i="8"/>
  <c r="M141" i="8"/>
  <c r="M140" i="8"/>
  <c r="M139" i="8"/>
  <c r="M138" i="8"/>
  <c r="M137" i="8"/>
  <c r="M136" i="8"/>
  <c r="M135" i="8"/>
  <c r="M134" i="8"/>
  <c r="M133" i="8"/>
  <c r="M132" i="8"/>
  <c r="M131" i="8"/>
  <c r="M130" i="8"/>
  <c r="M129" i="8"/>
  <c r="M128" i="8"/>
  <c r="M127" i="8"/>
  <c r="M126" i="8"/>
  <c r="M125" i="8"/>
  <c r="M124" i="8"/>
  <c r="M123" i="8"/>
  <c r="M122" i="8"/>
  <c r="M121" i="8"/>
  <c r="M120" i="8"/>
  <c r="M119" i="8"/>
  <c r="M118" i="8"/>
  <c r="M117" i="8"/>
  <c r="M116" i="8"/>
  <c r="M115" i="8"/>
  <c r="M114" i="8"/>
  <c r="M113" i="8"/>
  <c r="M112" i="8"/>
  <c r="M111" i="8"/>
  <c r="O109" i="8"/>
  <c r="O108" i="8"/>
  <c r="O107" i="8"/>
  <c r="O106" i="8"/>
  <c r="O105" i="8"/>
  <c r="O104" i="8"/>
  <c r="O103" i="8"/>
  <c r="O102" i="8"/>
  <c r="O101" i="8"/>
  <c r="O100" i="8"/>
  <c r="O99" i="8"/>
  <c r="O98" i="8"/>
  <c r="O97" i="8"/>
  <c r="O96" i="8"/>
  <c r="O95" i="8"/>
  <c r="O94" i="8"/>
  <c r="O93" i="8"/>
  <c r="O92" i="8"/>
  <c r="O91" i="8"/>
  <c r="M109" i="8"/>
  <c r="M108" i="8"/>
  <c r="M107" i="8"/>
  <c r="M106" i="8"/>
  <c r="M105" i="8"/>
  <c r="M104" i="8"/>
  <c r="M103" i="8"/>
  <c r="M102" i="8"/>
  <c r="M101" i="8"/>
  <c r="M100" i="8"/>
  <c r="M99" i="8"/>
  <c r="M98" i="8"/>
  <c r="M97" i="8"/>
  <c r="M96" i="8"/>
  <c r="M95" i="8"/>
  <c r="M94" i="8"/>
  <c r="M93" i="8"/>
  <c r="M92" i="8"/>
  <c r="M91" i="8"/>
  <c r="H73" i="13"/>
  <c r="M89" i="8"/>
  <c r="M88" i="8"/>
  <c r="M87" i="8"/>
  <c r="M86" i="8"/>
  <c r="M85" i="8"/>
  <c r="M84" i="8"/>
  <c r="M83" i="8"/>
  <c r="M82" i="8"/>
  <c r="H72" i="13"/>
  <c r="O80" i="8"/>
  <c r="O79" i="8"/>
  <c r="O78" i="8"/>
  <c r="O77" i="8"/>
  <c r="O76" i="8"/>
  <c r="O75" i="8"/>
  <c r="O74" i="8"/>
  <c r="O73" i="8"/>
  <c r="O72" i="8"/>
  <c r="O71" i="8"/>
  <c r="O70" i="8"/>
  <c r="O69" i="8"/>
  <c r="O68" i="8"/>
  <c r="O67" i="8"/>
  <c r="O66" i="8"/>
  <c r="O65" i="8"/>
  <c r="O64" i="8"/>
  <c r="O63" i="8"/>
  <c r="O62" i="8"/>
  <c r="O61" i="8"/>
  <c r="O60" i="8"/>
  <c r="O59" i="8"/>
  <c r="O58" i="8"/>
  <c r="O57" i="8"/>
  <c r="O56" i="8"/>
  <c r="O55" i="8"/>
  <c r="O54" i="8"/>
  <c r="O53" i="8"/>
  <c r="O52" i="8"/>
  <c r="O51" i="8"/>
  <c r="O50" i="8"/>
  <c r="M80" i="8"/>
  <c r="M79" i="8"/>
  <c r="M78" i="8"/>
  <c r="M77" i="8"/>
  <c r="M76" i="8"/>
  <c r="M75" i="8"/>
  <c r="M74" i="8"/>
  <c r="M73" i="8"/>
  <c r="M72" i="8"/>
  <c r="M71" i="8"/>
  <c r="M70" i="8"/>
  <c r="M69" i="8"/>
  <c r="M68" i="8"/>
  <c r="M67" i="8"/>
  <c r="M66" i="8"/>
  <c r="M65" i="8"/>
  <c r="M64" i="8"/>
  <c r="M63" i="8"/>
  <c r="M62" i="8"/>
  <c r="M61" i="8"/>
  <c r="M60" i="8"/>
  <c r="M59" i="8"/>
  <c r="M58" i="8"/>
  <c r="M57" i="8"/>
  <c r="M56" i="8"/>
  <c r="M55" i="8"/>
  <c r="M54" i="8"/>
  <c r="M53" i="8"/>
  <c r="M52" i="8"/>
  <c r="M51" i="8"/>
  <c r="M50" i="8"/>
  <c r="M48" i="8"/>
  <c r="M47" i="8"/>
  <c r="M46" i="8"/>
  <c r="M45" i="8"/>
  <c r="M44" i="8"/>
  <c r="M43" i="8"/>
  <c r="M42" i="8"/>
  <c r="M41" i="8"/>
  <c r="M38" i="8"/>
  <c r="M37" i="8"/>
  <c r="M36" i="8"/>
  <c r="M35" i="8"/>
  <c r="M34" i="8"/>
  <c r="M33" i="8"/>
  <c r="M32" i="8"/>
  <c r="M31" i="8"/>
  <c r="M30" i="8"/>
  <c r="M29" i="8"/>
  <c r="M28" i="8"/>
  <c r="M26" i="8"/>
  <c r="M25" i="8"/>
  <c r="M22" i="8"/>
  <c r="M21" i="8"/>
  <c r="M20" i="8"/>
  <c r="M19" i="8"/>
  <c r="M17" i="8"/>
  <c r="M16" i="8"/>
  <c r="M15" i="8"/>
  <c r="M14" i="8"/>
  <c r="M13" i="8"/>
  <c r="M12" i="8"/>
  <c r="M11" i="8"/>
  <c r="M9" i="8"/>
  <c r="M8" i="8"/>
  <c r="M7" i="8"/>
  <c r="M6" i="8"/>
  <c r="L148" i="8"/>
  <c r="L146" i="8"/>
  <c r="L145" i="8"/>
  <c r="L144" i="8"/>
  <c r="L143" i="8"/>
  <c r="L142" i="8"/>
  <c r="L141" i="8"/>
  <c r="L140" i="8"/>
  <c r="L139" i="8"/>
  <c r="L138" i="8"/>
  <c r="L137" i="8"/>
  <c r="L136" i="8"/>
  <c r="L135" i="8"/>
  <c r="L134" i="8"/>
  <c r="L133" i="8"/>
  <c r="L132" i="8"/>
  <c r="L131" i="8"/>
  <c r="L130" i="8"/>
  <c r="L129" i="8"/>
  <c r="L128" i="8"/>
  <c r="L127" i="8"/>
  <c r="L126" i="8"/>
  <c r="L125" i="8"/>
  <c r="L124" i="8"/>
  <c r="L123" i="8"/>
  <c r="L122" i="8"/>
  <c r="L121" i="8"/>
  <c r="L120" i="8"/>
  <c r="L119" i="8"/>
  <c r="L118" i="8"/>
  <c r="L117" i="8"/>
  <c r="L116" i="8"/>
  <c r="L115" i="8"/>
  <c r="L114" i="8"/>
  <c r="L113" i="8"/>
  <c r="L112" i="8"/>
  <c r="L111" i="8"/>
  <c r="L109" i="8"/>
  <c r="L108" i="8"/>
  <c r="L107" i="8"/>
  <c r="L106" i="8"/>
  <c r="L105" i="8"/>
  <c r="L104" i="8"/>
  <c r="L103" i="8"/>
  <c r="L102" i="8"/>
  <c r="L101" i="8"/>
  <c r="L100" i="8"/>
  <c r="L99" i="8"/>
  <c r="L98" i="8"/>
  <c r="L97" i="8"/>
  <c r="L96" i="8"/>
  <c r="L95" i="8"/>
  <c r="L94" i="8"/>
  <c r="L93" i="8"/>
  <c r="L92" i="8"/>
  <c r="L91" i="8"/>
  <c r="L89" i="8"/>
  <c r="L88" i="8"/>
  <c r="L87" i="8"/>
  <c r="L86" i="8"/>
  <c r="L85" i="8"/>
  <c r="L84" i="8"/>
  <c r="L83" i="8"/>
  <c r="L82" i="8"/>
  <c r="L80" i="8"/>
  <c r="L79" i="8"/>
  <c r="L78" i="8"/>
  <c r="L77" i="8"/>
  <c r="L76" i="8"/>
  <c r="L75" i="8"/>
  <c r="L74" i="8"/>
  <c r="L73" i="8"/>
  <c r="L72" i="8"/>
  <c r="L71" i="8"/>
  <c r="L70" i="8"/>
  <c r="L69" i="8"/>
  <c r="L68" i="8"/>
  <c r="L67" i="8"/>
  <c r="L66" i="8"/>
  <c r="L65" i="8"/>
  <c r="L64" i="8"/>
  <c r="L63" i="8"/>
  <c r="L62" i="8"/>
  <c r="L61" i="8"/>
  <c r="L60" i="8"/>
  <c r="L59" i="8"/>
  <c r="L58" i="8"/>
  <c r="L57" i="8"/>
  <c r="L56" i="8"/>
  <c r="L55" i="8"/>
  <c r="L54" i="8"/>
  <c r="L53" i="8"/>
  <c r="L52" i="8"/>
  <c r="L51" i="8"/>
  <c r="L50" i="8"/>
  <c r="L48" i="8"/>
  <c r="L47" i="8"/>
  <c r="L46" i="8"/>
  <c r="L45" i="8"/>
  <c r="L44" i="8"/>
  <c r="L43" i="8"/>
  <c r="L42" i="8"/>
  <c r="L41" i="8"/>
  <c r="L40" i="8"/>
  <c r="L38" i="8"/>
  <c r="L37" i="8"/>
  <c r="L36" i="8"/>
  <c r="L35" i="8"/>
  <c r="L34" i="8"/>
  <c r="L33" i="8"/>
  <c r="L32" i="8"/>
  <c r="L31" i="8"/>
  <c r="L30" i="8"/>
  <c r="L29" i="8"/>
  <c r="L28" i="8"/>
  <c r="L26" i="8"/>
  <c r="L25" i="8"/>
  <c r="J147" i="8"/>
  <c r="J110" i="8"/>
  <c r="J90" i="8"/>
  <c r="J81" i="8"/>
  <c r="K81" i="8"/>
  <c r="J50" i="8"/>
  <c r="J51" i="8"/>
  <c r="J52" i="8"/>
  <c r="J53" i="8"/>
  <c r="J54" i="8"/>
  <c r="J55" i="8"/>
  <c r="J56" i="8"/>
  <c r="J57" i="8"/>
  <c r="J58" i="8"/>
  <c r="J59" i="8"/>
  <c r="J60" i="8"/>
  <c r="J61" i="8"/>
  <c r="J62" i="8"/>
  <c r="J63" i="8"/>
  <c r="J64" i="8"/>
  <c r="J65" i="8"/>
  <c r="J66" i="8"/>
  <c r="J67" i="8"/>
  <c r="J68" i="8"/>
  <c r="J69" i="8"/>
  <c r="J70" i="8"/>
  <c r="J71" i="8"/>
  <c r="J72" i="8"/>
  <c r="J73" i="8"/>
  <c r="J74" i="8"/>
  <c r="J75" i="8"/>
  <c r="J76" i="8"/>
  <c r="J77" i="8"/>
  <c r="J78" i="8"/>
  <c r="J79" i="8"/>
  <c r="J49" i="8"/>
  <c r="J39" i="8"/>
  <c r="J148" i="8"/>
  <c r="J146" i="8"/>
  <c r="J145" i="8"/>
  <c r="J144" i="8"/>
  <c r="J143" i="8"/>
  <c r="J142" i="8"/>
  <c r="J141" i="8"/>
  <c r="J140" i="8"/>
  <c r="J139" i="8"/>
  <c r="J138" i="8"/>
  <c r="J137" i="8"/>
  <c r="J136" i="8"/>
  <c r="J135" i="8"/>
  <c r="J134" i="8"/>
  <c r="J133" i="8"/>
  <c r="J132" i="8"/>
  <c r="J131" i="8"/>
  <c r="J130" i="8"/>
  <c r="J129" i="8"/>
  <c r="J128" i="8"/>
  <c r="J127" i="8"/>
  <c r="J126" i="8"/>
  <c r="J125" i="8"/>
  <c r="J124" i="8"/>
  <c r="J123" i="8"/>
  <c r="J122" i="8"/>
  <c r="J121" i="8"/>
  <c r="J120" i="8"/>
  <c r="J119" i="8"/>
  <c r="J118" i="8"/>
  <c r="J117" i="8"/>
  <c r="J116" i="8"/>
  <c r="J115" i="8"/>
  <c r="J114" i="8"/>
  <c r="J113" i="8"/>
  <c r="J112" i="8"/>
  <c r="J111" i="8"/>
  <c r="J109" i="8"/>
  <c r="J108" i="8"/>
  <c r="J107" i="8"/>
  <c r="J106" i="8"/>
  <c r="J105" i="8"/>
  <c r="J104" i="8"/>
  <c r="J103" i="8"/>
  <c r="J102" i="8"/>
  <c r="J101" i="8"/>
  <c r="J100" i="8"/>
  <c r="J99" i="8"/>
  <c r="J98" i="8"/>
  <c r="J97" i="8"/>
  <c r="J96" i="8"/>
  <c r="J95" i="8"/>
  <c r="J94" i="8"/>
  <c r="J93" i="8"/>
  <c r="J92" i="8"/>
  <c r="J91" i="8"/>
  <c r="J89" i="8"/>
  <c r="J88" i="8"/>
  <c r="J87" i="8"/>
  <c r="J86" i="8"/>
  <c r="J85" i="8"/>
  <c r="J84" i="8"/>
  <c r="J83" i="8"/>
  <c r="J82" i="8"/>
  <c r="J80" i="8"/>
  <c r="J48" i="8"/>
  <c r="J47" i="8"/>
  <c r="J46" i="8"/>
  <c r="J45" i="8"/>
  <c r="J44" i="8"/>
  <c r="J43" i="8"/>
  <c r="J42" i="8"/>
  <c r="J41" i="8"/>
  <c r="J40" i="8"/>
  <c r="J38" i="8"/>
  <c r="J37" i="8"/>
  <c r="J36" i="8"/>
  <c r="J35" i="8"/>
  <c r="J34" i="8"/>
  <c r="J33" i="8"/>
  <c r="J32" i="8"/>
  <c r="J31" i="8"/>
  <c r="J30" i="8"/>
  <c r="J29" i="8"/>
  <c r="J28" i="8"/>
  <c r="J26" i="8"/>
  <c r="J25" i="8"/>
  <c r="J22" i="8"/>
  <c r="J21" i="8"/>
  <c r="J20" i="8"/>
  <c r="J19" i="8"/>
  <c r="J17" i="8"/>
  <c r="J16" i="8"/>
  <c r="J15" i="8"/>
  <c r="J14" i="8"/>
  <c r="J13" i="8"/>
  <c r="J12" i="8"/>
  <c r="J11" i="8"/>
  <c r="K74" i="10"/>
  <c r="J9" i="8"/>
  <c r="J8" i="8"/>
  <c r="J7" i="8"/>
  <c r="J6" i="8"/>
  <c r="C68" i="10"/>
  <c r="D67" i="10"/>
  <c r="I77" i="10"/>
  <c r="D66" i="10"/>
  <c r="I76" i="10"/>
  <c r="D65" i="10"/>
  <c r="I75" i="10"/>
  <c r="D64" i="10"/>
  <c r="I74" i="10"/>
  <c r="AG77" i="10"/>
  <c r="AJ77" i="10"/>
  <c r="AI77" i="10"/>
  <c r="AA77" i="10"/>
  <c r="AD77" i="10"/>
  <c r="AC77" i="10"/>
  <c r="U77" i="10"/>
  <c r="X77" i="10"/>
  <c r="W77" i="10"/>
  <c r="Q77" i="10"/>
  <c r="K77" i="10"/>
  <c r="AG76" i="10"/>
  <c r="AJ76" i="10"/>
  <c r="AI76" i="10"/>
  <c r="AA76" i="10"/>
  <c r="AD76" i="10"/>
  <c r="AC76" i="10"/>
  <c r="U76" i="10"/>
  <c r="X76" i="10"/>
  <c r="W76" i="10"/>
  <c r="O76" i="10"/>
  <c r="Q76" i="10"/>
  <c r="K76" i="10"/>
  <c r="AG75" i="10"/>
  <c r="AJ75" i="10"/>
  <c r="AI75" i="10"/>
  <c r="AA75" i="10"/>
  <c r="AD75" i="10"/>
  <c r="AC75" i="10"/>
  <c r="U75" i="10"/>
  <c r="X75" i="10"/>
  <c r="W75" i="10"/>
  <c r="O75" i="10"/>
  <c r="Q75" i="10"/>
  <c r="K75" i="10"/>
  <c r="AG74" i="10"/>
  <c r="AJ74" i="10"/>
  <c r="AI74" i="10"/>
  <c r="AA74" i="10"/>
  <c r="AD74" i="10"/>
  <c r="AC74" i="10"/>
  <c r="O74" i="10"/>
  <c r="U74" i="10"/>
  <c r="X74" i="10"/>
  <c r="W74" i="10"/>
  <c r="Q74" i="10"/>
  <c r="D154" i="14"/>
  <c r="G5" i="14"/>
  <c r="G10" i="14"/>
  <c r="G18" i="14"/>
  <c r="G24" i="14"/>
  <c r="G27" i="14"/>
  <c r="G39" i="14"/>
  <c r="G49" i="14"/>
  <c r="G81" i="14"/>
  <c r="G90" i="14"/>
  <c r="G110" i="14"/>
  <c r="G147" i="14"/>
  <c r="G23" i="14"/>
  <c r="G149" i="14"/>
  <c r="D8" i="4"/>
  <c r="H6" i="14"/>
  <c r="I6" i="14"/>
  <c r="H7" i="14"/>
  <c r="I7" i="14"/>
  <c r="H8" i="14"/>
  <c r="I8" i="14"/>
  <c r="H9" i="14"/>
  <c r="I9" i="14"/>
  <c r="I5" i="14"/>
  <c r="F11" i="14"/>
  <c r="D9" i="4"/>
  <c r="H11" i="14"/>
  <c r="I11" i="14"/>
  <c r="F12" i="14"/>
  <c r="H12" i="14"/>
  <c r="I12" i="14"/>
  <c r="F13" i="14"/>
  <c r="H13" i="14"/>
  <c r="I13" i="14"/>
  <c r="F14" i="14"/>
  <c r="H14" i="14"/>
  <c r="I14" i="14"/>
  <c r="F15" i="14"/>
  <c r="H15" i="14"/>
  <c r="I15" i="14"/>
  <c r="F16" i="14"/>
  <c r="H16" i="14"/>
  <c r="I16" i="14"/>
  <c r="F17" i="14"/>
  <c r="H17" i="14"/>
  <c r="I17" i="14"/>
  <c r="I10" i="14"/>
  <c r="H19" i="14"/>
  <c r="I19" i="14"/>
  <c r="H20" i="14"/>
  <c r="I20" i="14"/>
  <c r="H21" i="14"/>
  <c r="I21" i="14"/>
  <c r="H22" i="14"/>
  <c r="I22" i="14"/>
  <c r="I18" i="14"/>
  <c r="I25" i="14"/>
  <c r="I26" i="14"/>
  <c r="I24" i="14"/>
  <c r="I28" i="14"/>
  <c r="I29" i="14"/>
  <c r="I30" i="14"/>
  <c r="I31" i="14"/>
  <c r="I32" i="14"/>
  <c r="I33" i="14"/>
  <c r="I34" i="14"/>
  <c r="I35" i="14"/>
  <c r="I36" i="14"/>
  <c r="I37" i="14"/>
  <c r="I38" i="14"/>
  <c r="I27" i="14"/>
  <c r="I40" i="14"/>
  <c r="I41" i="14"/>
  <c r="I42" i="14"/>
  <c r="I43" i="14"/>
  <c r="I44" i="14"/>
  <c r="I45" i="14"/>
  <c r="I46" i="14"/>
  <c r="I47" i="14"/>
  <c r="I48" i="14"/>
  <c r="I39" i="14"/>
  <c r="I50" i="14"/>
  <c r="I51" i="14"/>
  <c r="I52" i="14"/>
  <c r="I53" i="14"/>
  <c r="I54" i="14"/>
  <c r="I55" i="14"/>
  <c r="I56" i="14"/>
  <c r="I57" i="14"/>
  <c r="I58" i="14"/>
  <c r="I59" i="14"/>
  <c r="I60" i="14"/>
  <c r="I61" i="14"/>
  <c r="I62" i="14"/>
  <c r="I63" i="14"/>
  <c r="I64" i="14"/>
  <c r="I65" i="14"/>
  <c r="I66" i="14"/>
  <c r="I67" i="14"/>
  <c r="I68" i="14"/>
  <c r="I69" i="14"/>
  <c r="I70" i="14"/>
  <c r="I71" i="14"/>
  <c r="I72" i="14"/>
  <c r="I73" i="14"/>
  <c r="I74" i="14"/>
  <c r="I75" i="14"/>
  <c r="I76" i="14"/>
  <c r="I77" i="14"/>
  <c r="I78" i="14"/>
  <c r="I79" i="14"/>
  <c r="I80" i="14"/>
  <c r="I49" i="14"/>
  <c r="I82" i="14"/>
  <c r="I83" i="14"/>
  <c r="I84" i="14"/>
  <c r="I85" i="14"/>
  <c r="I86" i="14"/>
  <c r="I87" i="14"/>
  <c r="I88" i="14"/>
  <c r="I89" i="14"/>
  <c r="I81" i="14"/>
  <c r="I91" i="14"/>
  <c r="I92" i="14"/>
  <c r="I93" i="14"/>
  <c r="I94" i="14"/>
  <c r="I95" i="14"/>
  <c r="I96" i="14"/>
  <c r="I97" i="14"/>
  <c r="I98" i="14"/>
  <c r="I99" i="14"/>
  <c r="I100" i="14"/>
  <c r="I101" i="14"/>
  <c r="I102" i="14"/>
  <c r="I103" i="14"/>
  <c r="I104" i="14"/>
  <c r="I105" i="14"/>
  <c r="I106" i="14"/>
  <c r="I107" i="14"/>
  <c r="I108" i="14"/>
  <c r="I109" i="14"/>
  <c r="I90" i="14"/>
  <c r="I111" i="14"/>
  <c r="I112" i="14"/>
  <c r="I113" i="14"/>
  <c r="I114" i="14"/>
  <c r="I115" i="14"/>
  <c r="I116" i="14"/>
  <c r="I117" i="14"/>
  <c r="I118" i="14"/>
  <c r="I119" i="14"/>
  <c r="I120" i="14"/>
  <c r="I121" i="14"/>
  <c r="I122" i="14"/>
  <c r="I123" i="14"/>
  <c r="I124" i="14"/>
  <c r="I125" i="14"/>
  <c r="I126" i="14"/>
  <c r="I127" i="14"/>
  <c r="I128" i="14"/>
  <c r="I129" i="14"/>
  <c r="I130" i="14"/>
  <c r="I131" i="14"/>
  <c r="I132" i="14"/>
  <c r="I133" i="14"/>
  <c r="I134" i="14"/>
  <c r="I135" i="14"/>
  <c r="I136" i="14"/>
  <c r="I137" i="14"/>
  <c r="I138" i="14"/>
  <c r="I139" i="14"/>
  <c r="I140" i="14"/>
  <c r="I141" i="14"/>
  <c r="I142" i="14"/>
  <c r="I143" i="14"/>
  <c r="I144" i="14"/>
  <c r="I145" i="14"/>
  <c r="I146" i="14"/>
  <c r="I110" i="14"/>
  <c r="I148" i="14"/>
  <c r="I147" i="14"/>
  <c r="I23" i="14"/>
  <c r="I149" i="14"/>
  <c r="N23" i="14"/>
  <c r="T23" i="14"/>
  <c r="N148" i="14"/>
  <c r="T148" i="14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F61" i="13"/>
  <c r="U148" i="14"/>
  <c r="P78" i="13"/>
  <c r="S148" i="14"/>
  <c r="Q148" i="14"/>
  <c r="D8" i="1"/>
  <c r="F80" i="1"/>
  <c r="G8" i="1"/>
  <c r="F81" i="1"/>
  <c r="J8" i="1"/>
  <c r="F82" i="1"/>
  <c r="M8" i="1"/>
  <c r="F83" i="1"/>
  <c r="P8" i="1"/>
  <c r="F84" i="1"/>
  <c r="S8" i="1"/>
  <c r="F85" i="1"/>
  <c r="V8" i="1"/>
  <c r="F86" i="1"/>
  <c r="Y8" i="1"/>
  <c r="F87" i="1"/>
  <c r="AB8" i="1"/>
  <c r="F88" i="1"/>
  <c r="AE8" i="1"/>
  <c r="F89" i="1"/>
  <c r="AH8" i="1"/>
  <c r="F90" i="1"/>
  <c r="AK8" i="1"/>
  <c r="F91" i="1"/>
  <c r="AN8" i="1"/>
  <c r="F92" i="1"/>
  <c r="AQ8" i="1"/>
  <c r="F93" i="1"/>
  <c r="F94" i="1"/>
  <c r="F62" i="10"/>
  <c r="H3" i="10"/>
  <c r="K3" i="10"/>
  <c r="H4" i="10"/>
  <c r="K4" i="10"/>
  <c r="H5" i="10"/>
  <c r="K5" i="10"/>
  <c r="H6" i="10"/>
  <c r="K6" i="10"/>
  <c r="H7" i="10"/>
  <c r="K7" i="10"/>
  <c r="H8" i="10"/>
  <c r="K8" i="10"/>
  <c r="H9" i="10"/>
  <c r="K9" i="10"/>
  <c r="H10" i="10"/>
  <c r="K10" i="10"/>
  <c r="H11" i="10"/>
  <c r="K11" i="10"/>
  <c r="H12" i="10"/>
  <c r="K12" i="10"/>
  <c r="H13" i="10"/>
  <c r="K13" i="10"/>
  <c r="H14" i="10"/>
  <c r="K14" i="10"/>
  <c r="H15" i="10"/>
  <c r="K15" i="10"/>
  <c r="H16" i="10"/>
  <c r="K16" i="10"/>
  <c r="H17" i="10"/>
  <c r="K17" i="10"/>
  <c r="H18" i="10"/>
  <c r="K18" i="10"/>
  <c r="H19" i="10"/>
  <c r="K19" i="10"/>
  <c r="H20" i="10"/>
  <c r="K20" i="10"/>
  <c r="H21" i="10"/>
  <c r="K21" i="10"/>
  <c r="H22" i="10"/>
  <c r="K22" i="10"/>
  <c r="H23" i="10"/>
  <c r="K23" i="10"/>
  <c r="H24" i="10"/>
  <c r="K24" i="10"/>
  <c r="H25" i="10"/>
  <c r="K25" i="10"/>
  <c r="H26" i="10"/>
  <c r="K26" i="10"/>
  <c r="H27" i="10"/>
  <c r="K27" i="10"/>
  <c r="H28" i="10"/>
  <c r="K28" i="10"/>
  <c r="H29" i="10"/>
  <c r="K29" i="10"/>
  <c r="H30" i="10"/>
  <c r="K30" i="10"/>
  <c r="H31" i="10"/>
  <c r="K31" i="10"/>
  <c r="H32" i="10"/>
  <c r="K32" i="10"/>
  <c r="H33" i="10"/>
  <c r="K33" i="10"/>
  <c r="H34" i="10"/>
  <c r="K34" i="10"/>
  <c r="H35" i="10"/>
  <c r="K35" i="10"/>
  <c r="H36" i="10"/>
  <c r="K36" i="10"/>
  <c r="H37" i="10"/>
  <c r="K37" i="10"/>
  <c r="H38" i="10"/>
  <c r="K38" i="10"/>
  <c r="H39" i="10"/>
  <c r="K39" i="10"/>
  <c r="H40" i="10"/>
  <c r="K40" i="10"/>
  <c r="H41" i="10"/>
  <c r="K41" i="10"/>
  <c r="H42" i="10"/>
  <c r="K42" i="10"/>
  <c r="H43" i="10"/>
  <c r="K43" i="10"/>
  <c r="H44" i="10"/>
  <c r="K44" i="10"/>
  <c r="H45" i="10"/>
  <c r="K45" i="10"/>
  <c r="H46" i="10"/>
  <c r="K46" i="10"/>
  <c r="H47" i="10"/>
  <c r="K47" i="10"/>
  <c r="H48" i="10"/>
  <c r="K48" i="10"/>
  <c r="H49" i="10"/>
  <c r="K49" i="10"/>
  <c r="H50" i="10"/>
  <c r="K50" i="10"/>
  <c r="H51" i="10"/>
  <c r="K51" i="10"/>
  <c r="H52" i="10"/>
  <c r="K52" i="10"/>
  <c r="H53" i="10"/>
  <c r="K53" i="10"/>
  <c r="H54" i="10"/>
  <c r="K54" i="10"/>
  <c r="H55" i="10"/>
  <c r="K55" i="10"/>
  <c r="H56" i="10"/>
  <c r="K56" i="10"/>
  <c r="H57" i="10"/>
  <c r="K57" i="10"/>
  <c r="H58" i="10"/>
  <c r="K58" i="10"/>
  <c r="H59" i="10"/>
  <c r="K59" i="10"/>
  <c r="H60" i="10"/>
  <c r="K60" i="10"/>
  <c r="K65" i="10"/>
  <c r="K66" i="10"/>
  <c r="K67" i="10"/>
  <c r="K15" i="11"/>
  <c r="L3" i="10"/>
  <c r="K9" i="11"/>
  <c r="L4" i="10"/>
  <c r="K29" i="11"/>
  <c r="L5" i="10"/>
  <c r="K16" i="11"/>
  <c r="L6" i="10"/>
  <c r="K12" i="11"/>
  <c r="L7" i="10"/>
  <c r="K32" i="11"/>
  <c r="L8" i="10"/>
  <c r="K34" i="11"/>
  <c r="L9" i="10"/>
  <c r="K13" i="11"/>
  <c r="L10" i="10"/>
  <c r="K19" i="11"/>
  <c r="L11" i="10"/>
  <c r="K22" i="11"/>
  <c r="L12" i="10"/>
  <c r="K60" i="11"/>
  <c r="L13" i="10"/>
  <c r="K18" i="11"/>
  <c r="L14" i="10"/>
  <c r="K25" i="11"/>
  <c r="L15" i="10"/>
  <c r="K20" i="11"/>
  <c r="L16" i="10"/>
  <c r="K42" i="11"/>
  <c r="L17" i="10"/>
  <c r="K23" i="11"/>
  <c r="L18" i="10"/>
  <c r="K39" i="11"/>
  <c r="L19" i="10"/>
  <c r="K31" i="11"/>
  <c r="L20" i="10"/>
  <c r="K36" i="11"/>
  <c r="L21" i="10"/>
  <c r="K59" i="11"/>
  <c r="L22" i="10"/>
  <c r="K55" i="11"/>
  <c r="L23" i="10"/>
  <c r="K17" i="11"/>
  <c r="L24" i="10"/>
  <c r="K21" i="11"/>
  <c r="L25" i="10"/>
  <c r="K28" i="11"/>
  <c r="L26" i="10"/>
  <c r="K47" i="11"/>
  <c r="L27" i="10"/>
  <c r="K46" i="11"/>
  <c r="L28" i="10"/>
  <c r="K14" i="11"/>
  <c r="L29" i="10"/>
  <c r="K8" i="11"/>
  <c r="L30" i="10"/>
  <c r="K57" i="11"/>
  <c r="L31" i="10"/>
  <c r="K11" i="11"/>
  <c r="L32" i="10"/>
  <c r="K37" i="11"/>
  <c r="L33" i="10"/>
  <c r="K4" i="11"/>
  <c r="L34" i="10"/>
  <c r="K6" i="11"/>
  <c r="L35" i="10"/>
  <c r="K58" i="11"/>
  <c r="L36" i="10"/>
  <c r="K41" i="11"/>
  <c r="L37" i="10"/>
  <c r="K33" i="11"/>
  <c r="L38" i="10"/>
  <c r="K26" i="11"/>
  <c r="L39" i="10"/>
  <c r="K3" i="11"/>
  <c r="L40" i="10"/>
  <c r="K49" i="11"/>
  <c r="L41" i="10"/>
  <c r="K56" i="11"/>
  <c r="L42" i="10"/>
  <c r="K52" i="11"/>
  <c r="L43" i="10"/>
  <c r="K43" i="11"/>
  <c r="L44" i="10"/>
  <c r="K61" i="11"/>
  <c r="L45" i="10"/>
  <c r="K38" i="11"/>
  <c r="L46" i="10"/>
  <c r="K40" i="11"/>
  <c r="L47" i="10"/>
  <c r="K5" i="11"/>
  <c r="L48" i="10"/>
  <c r="K51" i="11"/>
  <c r="L49" i="10"/>
  <c r="K27" i="11"/>
  <c r="L50" i="10"/>
  <c r="K30" i="11"/>
  <c r="L51" i="10"/>
  <c r="K50" i="11"/>
  <c r="L52" i="10"/>
  <c r="K44" i="11"/>
  <c r="L53" i="10"/>
  <c r="K24" i="11"/>
  <c r="L54" i="10"/>
  <c r="K48" i="11"/>
  <c r="L55" i="10"/>
  <c r="K10" i="11"/>
  <c r="L56" i="10"/>
  <c r="K7" i="11"/>
  <c r="L57" i="10"/>
  <c r="K45" i="11"/>
  <c r="L58" i="10"/>
  <c r="K53" i="11"/>
  <c r="L59" i="10"/>
  <c r="K54" i="11"/>
  <c r="L60" i="10"/>
  <c r="L65" i="10"/>
  <c r="L66" i="10"/>
  <c r="L67" i="10"/>
  <c r="M67" i="10"/>
  <c r="R148" i="14"/>
  <c r="J71" i="13"/>
  <c r="M148" i="14"/>
  <c r="M65" i="10"/>
  <c r="L148" i="14"/>
  <c r="AC147" i="14"/>
  <c r="AD147" i="14"/>
  <c r="W147" i="14"/>
  <c r="X147" i="14"/>
  <c r="U147" i="14"/>
  <c r="T147" i="14"/>
  <c r="S147" i="14"/>
  <c r="K147" i="14"/>
  <c r="Q147" i="14"/>
  <c r="R147" i="14"/>
  <c r="N147" i="14"/>
  <c r="M147" i="14"/>
  <c r="L147" i="14"/>
  <c r="N146" i="14"/>
  <c r="T146" i="14"/>
  <c r="U146" i="14"/>
  <c r="P76" i="13"/>
  <c r="S146" i="14"/>
  <c r="Q146" i="14"/>
  <c r="R146" i="14"/>
  <c r="M146" i="14"/>
  <c r="L146" i="14"/>
  <c r="N145" i="14"/>
  <c r="T145" i="14"/>
  <c r="U145" i="14"/>
  <c r="S145" i="14"/>
  <c r="Q145" i="14"/>
  <c r="R145" i="14"/>
  <c r="M145" i="14"/>
  <c r="L145" i="14"/>
  <c r="AD144" i="14"/>
  <c r="X144" i="14"/>
  <c r="N144" i="14"/>
  <c r="T144" i="14"/>
  <c r="U144" i="14"/>
  <c r="S144" i="14"/>
  <c r="Q144" i="14"/>
  <c r="R144" i="14"/>
  <c r="M144" i="14"/>
  <c r="L144" i="14"/>
  <c r="AD143" i="14"/>
  <c r="X143" i="14"/>
  <c r="N143" i="14"/>
  <c r="T143" i="14"/>
  <c r="U143" i="14"/>
  <c r="S143" i="14"/>
  <c r="Q143" i="14"/>
  <c r="R143" i="14"/>
  <c r="M143" i="14"/>
  <c r="L143" i="14"/>
  <c r="AD142" i="14"/>
  <c r="X142" i="14"/>
  <c r="N142" i="14"/>
  <c r="T142" i="14"/>
  <c r="U142" i="14"/>
  <c r="S142" i="14"/>
  <c r="Q142" i="14"/>
  <c r="R142" i="14"/>
  <c r="M142" i="14"/>
  <c r="L142" i="14"/>
  <c r="AD141" i="14"/>
  <c r="X141" i="14"/>
  <c r="N141" i="14"/>
  <c r="T141" i="14"/>
  <c r="U141" i="14"/>
  <c r="S141" i="14"/>
  <c r="Q141" i="14"/>
  <c r="R141" i="14"/>
  <c r="M141" i="14"/>
  <c r="L141" i="14"/>
  <c r="AD140" i="14"/>
  <c r="X140" i="14"/>
  <c r="N140" i="14"/>
  <c r="T140" i="14"/>
  <c r="U140" i="14"/>
  <c r="S140" i="14"/>
  <c r="Q140" i="14"/>
  <c r="R140" i="14"/>
  <c r="M140" i="14"/>
  <c r="L140" i="14"/>
  <c r="AD139" i="14"/>
  <c r="X139" i="14"/>
  <c r="N139" i="14"/>
  <c r="T139" i="14"/>
  <c r="U139" i="14"/>
  <c r="S139" i="14"/>
  <c r="Q139" i="14"/>
  <c r="R139" i="14"/>
  <c r="M139" i="14"/>
  <c r="L139" i="14"/>
  <c r="AD138" i="14"/>
  <c r="X138" i="14"/>
  <c r="N138" i="14"/>
  <c r="T138" i="14"/>
  <c r="U138" i="14"/>
  <c r="S138" i="14"/>
  <c r="Q138" i="14"/>
  <c r="R138" i="14"/>
  <c r="M138" i="14"/>
  <c r="L138" i="14"/>
  <c r="AD137" i="14"/>
  <c r="X137" i="14"/>
  <c r="N137" i="14"/>
  <c r="T137" i="14"/>
  <c r="U137" i="14"/>
  <c r="S137" i="14"/>
  <c r="Q137" i="14"/>
  <c r="R137" i="14"/>
  <c r="M137" i="14"/>
  <c r="L137" i="14"/>
  <c r="AD136" i="14"/>
  <c r="X136" i="14"/>
  <c r="N136" i="14"/>
  <c r="T136" i="14"/>
  <c r="U136" i="14"/>
  <c r="S136" i="14"/>
  <c r="Q136" i="14"/>
  <c r="R136" i="14"/>
  <c r="M136" i="14"/>
  <c r="L136" i="14"/>
  <c r="AD135" i="14"/>
  <c r="X135" i="14"/>
  <c r="N135" i="14"/>
  <c r="T135" i="14"/>
  <c r="U135" i="14"/>
  <c r="S135" i="14"/>
  <c r="Q135" i="14"/>
  <c r="R135" i="14"/>
  <c r="M135" i="14"/>
  <c r="L135" i="14"/>
  <c r="AD134" i="14"/>
  <c r="X134" i="14"/>
  <c r="N134" i="14"/>
  <c r="T134" i="14"/>
  <c r="U134" i="14"/>
  <c r="S134" i="14"/>
  <c r="Q134" i="14"/>
  <c r="R134" i="14"/>
  <c r="M134" i="14"/>
  <c r="L134" i="14"/>
  <c r="AD133" i="14"/>
  <c r="X133" i="14"/>
  <c r="N133" i="14"/>
  <c r="T133" i="14"/>
  <c r="U133" i="14"/>
  <c r="S133" i="14"/>
  <c r="Q133" i="14"/>
  <c r="R133" i="14"/>
  <c r="M133" i="14"/>
  <c r="L133" i="14"/>
  <c r="AD132" i="14"/>
  <c r="X132" i="14"/>
  <c r="N132" i="14"/>
  <c r="T132" i="14"/>
  <c r="U132" i="14"/>
  <c r="S132" i="14"/>
  <c r="Q132" i="14"/>
  <c r="R132" i="14"/>
  <c r="M132" i="14"/>
  <c r="L132" i="14"/>
  <c r="AD131" i="14"/>
  <c r="X131" i="14"/>
  <c r="N131" i="14"/>
  <c r="T131" i="14"/>
  <c r="U131" i="14"/>
  <c r="S131" i="14"/>
  <c r="Q131" i="14"/>
  <c r="R131" i="14"/>
  <c r="M131" i="14"/>
  <c r="L131" i="14"/>
  <c r="AD130" i="14"/>
  <c r="X130" i="14"/>
  <c r="N130" i="14"/>
  <c r="T130" i="14"/>
  <c r="U130" i="14"/>
  <c r="S130" i="14"/>
  <c r="Q130" i="14"/>
  <c r="R130" i="14"/>
  <c r="M130" i="14"/>
  <c r="L130" i="14"/>
  <c r="AD129" i="14"/>
  <c r="X129" i="14"/>
  <c r="N129" i="14"/>
  <c r="T129" i="14"/>
  <c r="U129" i="14"/>
  <c r="S129" i="14"/>
  <c r="Q129" i="14"/>
  <c r="R129" i="14"/>
  <c r="M129" i="14"/>
  <c r="L129" i="14"/>
  <c r="AD128" i="14"/>
  <c r="X128" i="14"/>
  <c r="N128" i="14"/>
  <c r="T128" i="14"/>
  <c r="U128" i="14"/>
  <c r="S128" i="14"/>
  <c r="Q128" i="14"/>
  <c r="R128" i="14"/>
  <c r="M128" i="14"/>
  <c r="L128" i="14"/>
  <c r="AD127" i="14"/>
  <c r="X127" i="14"/>
  <c r="N127" i="14"/>
  <c r="T127" i="14"/>
  <c r="U127" i="14"/>
  <c r="S127" i="14"/>
  <c r="Q127" i="14"/>
  <c r="R127" i="14"/>
  <c r="M127" i="14"/>
  <c r="L127" i="14"/>
  <c r="AD126" i="14"/>
  <c r="X126" i="14"/>
  <c r="N126" i="14"/>
  <c r="T126" i="14"/>
  <c r="U126" i="14"/>
  <c r="S126" i="14"/>
  <c r="Q126" i="14"/>
  <c r="R126" i="14"/>
  <c r="M126" i="14"/>
  <c r="L126" i="14"/>
  <c r="AD125" i="14"/>
  <c r="X125" i="14"/>
  <c r="N125" i="14"/>
  <c r="T125" i="14"/>
  <c r="U125" i="14"/>
  <c r="S125" i="14"/>
  <c r="Q125" i="14"/>
  <c r="R125" i="14"/>
  <c r="M125" i="14"/>
  <c r="L125" i="14"/>
  <c r="AD124" i="14"/>
  <c r="X124" i="14"/>
  <c r="N124" i="14"/>
  <c r="T124" i="14"/>
  <c r="U124" i="14"/>
  <c r="S124" i="14"/>
  <c r="Q124" i="14"/>
  <c r="R124" i="14"/>
  <c r="M124" i="14"/>
  <c r="L124" i="14"/>
  <c r="AD123" i="14"/>
  <c r="X123" i="14"/>
  <c r="N123" i="14"/>
  <c r="T123" i="14"/>
  <c r="U123" i="14"/>
  <c r="S123" i="14"/>
  <c r="Q123" i="14"/>
  <c r="R123" i="14"/>
  <c r="M123" i="14"/>
  <c r="L123" i="14"/>
  <c r="AD122" i="14"/>
  <c r="X122" i="14"/>
  <c r="N122" i="14"/>
  <c r="T122" i="14"/>
  <c r="U122" i="14"/>
  <c r="S122" i="14"/>
  <c r="Q122" i="14"/>
  <c r="R122" i="14"/>
  <c r="M122" i="14"/>
  <c r="L122" i="14"/>
  <c r="AD121" i="14"/>
  <c r="X121" i="14"/>
  <c r="N121" i="14"/>
  <c r="T121" i="14"/>
  <c r="U121" i="14"/>
  <c r="S121" i="14"/>
  <c r="Q121" i="14"/>
  <c r="R121" i="14"/>
  <c r="M121" i="14"/>
  <c r="L121" i="14"/>
  <c r="AD120" i="14"/>
  <c r="X120" i="14"/>
  <c r="N120" i="14"/>
  <c r="T120" i="14"/>
  <c r="U120" i="14"/>
  <c r="S120" i="14"/>
  <c r="Q120" i="14"/>
  <c r="R120" i="14"/>
  <c r="M120" i="14"/>
  <c r="L120" i="14"/>
  <c r="AD119" i="14"/>
  <c r="X119" i="14"/>
  <c r="N119" i="14"/>
  <c r="T119" i="14"/>
  <c r="U119" i="14"/>
  <c r="S119" i="14"/>
  <c r="Q119" i="14"/>
  <c r="R119" i="14"/>
  <c r="M119" i="14"/>
  <c r="L119" i="14"/>
  <c r="AD118" i="14"/>
  <c r="X118" i="14"/>
  <c r="N118" i="14"/>
  <c r="T118" i="14"/>
  <c r="U118" i="14"/>
  <c r="S118" i="14"/>
  <c r="Q118" i="14"/>
  <c r="R118" i="14"/>
  <c r="M118" i="14"/>
  <c r="L118" i="14"/>
  <c r="AD117" i="14"/>
  <c r="X117" i="14"/>
  <c r="N117" i="14"/>
  <c r="T117" i="14"/>
  <c r="U117" i="14"/>
  <c r="S117" i="14"/>
  <c r="Q117" i="14"/>
  <c r="R117" i="14"/>
  <c r="M117" i="14"/>
  <c r="L117" i="14"/>
  <c r="AD116" i="14"/>
  <c r="X116" i="14"/>
  <c r="N116" i="14"/>
  <c r="T116" i="14"/>
  <c r="U116" i="14"/>
  <c r="S116" i="14"/>
  <c r="Q116" i="14"/>
  <c r="R116" i="14"/>
  <c r="M116" i="14"/>
  <c r="L116" i="14"/>
  <c r="AD115" i="14"/>
  <c r="X115" i="14"/>
  <c r="N115" i="14"/>
  <c r="T115" i="14"/>
  <c r="U115" i="14"/>
  <c r="S115" i="14"/>
  <c r="Q115" i="14"/>
  <c r="R115" i="14"/>
  <c r="M115" i="14"/>
  <c r="L115" i="14"/>
  <c r="AD114" i="14"/>
  <c r="X114" i="14"/>
  <c r="N114" i="14"/>
  <c r="T114" i="14"/>
  <c r="U114" i="14"/>
  <c r="S114" i="14"/>
  <c r="Q114" i="14"/>
  <c r="R114" i="14"/>
  <c r="M114" i="14"/>
  <c r="L114" i="14"/>
  <c r="AD113" i="14"/>
  <c r="X113" i="14"/>
  <c r="N113" i="14"/>
  <c r="T113" i="14"/>
  <c r="U113" i="14"/>
  <c r="S113" i="14"/>
  <c r="Q113" i="14"/>
  <c r="R113" i="14"/>
  <c r="M113" i="14"/>
  <c r="L113" i="14"/>
  <c r="AD112" i="14"/>
  <c r="X112" i="14"/>
  <c r="N112" i="14"/>
  <c r="T112" i="14"/>
  <c r="U112" i="14"/>
  <c r="S112" i="14"/>
  <c r="Q112" i="14"/>
  <c r="R112" i="14"/>
  <c r="M112" i="14"/>
  <c r="L112" i="14"/>
  <c r="AD111" i="14"/>
  <c r="X111" i="14"/>
  <c r="N111" i="14"/>
  <c r="T111" i="14"/>
  <c r="U111" i="14"/>
  <c r="S111" i="14"/>
  <c r="Q111" i="14"/>
  <c r="R111" i="14"/>
  <c r="M111" i="14"/>
  <c r="L111" i="14"/>
  <c r="AC110" i="14"/>
  <c r="AD110" i="14"/>
  <c r="W110" i="14"/>
  <c r="X110" i="14"/>
  <c r="U110" i="14"/>
  <c r="T110" i="14"/>
  <c r="S110" i="14"/>
  <c r="K110" i="14"/>
  <c r="Q110" i="14"/>
  <c r="R110" i="14"/>
  <c r="N110" i="14"/>
  <c r="M110" i="14"/>
  <c r="L110" i="14"/>
  <c r="AD109" i="14"/>
  <c r="X109" i="14"/>
  <c r="N109" i="14"/>
  <c r="T109" i="14"/>
  <c r="U109" i="14"/>
  <c r="S109" i="14"/>
  <c r="Q109" i="14"/>
  <c r="R109" i="14"/>
  <c r="M109" i="14"/>
  <c r="L109" i="14"/>
  <c r="AD108" i="14"/>
  <c r="X108" i="14"/>
  <c r="N108" i="14"/>
  <c r="T108" i="14"/>
  <c r="U108" i="14"/>
  <c r="S108" i="14"/>
  <c r="Q108" i="14"/>
  <c r="R108" i="14"/>
  <c r="M108" i="14"/>
  <c r="L108" i="14"/>
  <c r="AD107" i="14"/>
  <c r="X107" i="14"/>
  <c r="N107" i="14"/>
  <c r="T107" i="14"/>
  <c r="U107" i="14"/>
  <c r="S107" i="14"/>
  <c r="Q107" i="14"/>
  <c r="R107" i="14"/>
  <c r="M107" i="14"/>
  <c r="L107" i="14"/>
  <c r="AD106" i="14"/>
  <c r="X106" i="14"/>
  <c r="N106" i="14"/>
  <c r="T106" i="14"/>
  <c r="U106" i="14"/>
  <c r="S106" i="14"/>
  <c r="Q106" i="14"/>
  <c r="R106" i="14"/>
  <c r="M106" i="14"/>
  <c r="L106" i="14"/>
  <c r="AD105" i="14"/>
  <c r="X105" i="14"/>
  <c r="N105" i="14"/>
  <c r="T105" i="14"/>
  <c r="U105" i="14"/>
  <c r="S105" i="14"/>
  <c r="Q105" i="14"/>
  <c r="R105" i="14"/>
  <c r="M105" i="14"/>
  <c r="L105" i="14"/>
  <c r="AD104" i="14"/>
  <c r="X104" i="14"/>
  <c r="N104" i="14"/>
  <c r="T104" i="14"/>
  <c r="U104" i="14"/>
  <c r="S104" i="14"/>
  <c r="Q104" i="14"/>
  <c r="R104" i="14"/>
  <c r="M104" i="14"/>
  <c r="L104" i="14"/>
  <c r="AD103" i="14"/>
  <c r="X103" i="14"/>
  <c r="N103" i="14"/>
  <c r="T103" i="14"/>
  <c r="U103" i="14"/>
  <c r="S103" i="14"/>
  <c r="Q103" i="14"/>
  <c r="R103" i="14"/>
  <c r="M103" i="14"/>
  <c r="L103" i="14"/>
  <c r="AD102" i="14"/>
  <c r="X102" i="14"/>
  <c r="N102" i="14"/>
  <c r="T102" i="14"/>
  <c r="U102" i="14"/>
  <c r="S102" i="14"/>
  <c r="Q102" i="14"/>
  <c r="R102" i="14"/>
  <c r="M102" i="14"/>
  <c r="L102" i="14"/>
  <c r="AD101" i="14"/>
  <c r="X101" i="14"/>
  <c r="N101" i="14"/>
  <c r="T101" i="14"/>
  <c r="U101" i="14"/>
  <c r="S101" i="14"/>
  <c r="Q101" i="14"/>
  <c r="R101" i="14"/>
  <c r="M101" i="14"/>
  <c r="L101" i="14"/>
  <c r="AD100" i="14"/>
  <c r="X100" i="14"/>
  <c r="N100" i="14"/>
  <c r="T100" i="14"/>
  <c r="U100" i="14"/>
  <c r="S100" i="14"/>
  <c r="Q100" i="14"/>
  <c r="R100" i="14"/>
  <c r="M100" i="14"/>
  <c r="L100" i="14"/>
  <c r="AD99" i="14"/>
  <c r="X99" i="14"/>
  <c r="N99" i="14"/>
  <c r="T99" i="14"/>
  <c r="U99" i="14"/>
  <c r="S99" i="14"/>
  <c r="Q99" i="14"/>
  <c r="R99" i="14"/>
  <c r="M99" i="14"/>
  <c r="L99" i="14"/>
  <c r="AD98" i="14"/>
  <c r="X98" i="14"/>
  <c r="N98" i="14"/>
  <c r="T98" i="14"/>
  <c r="U98" i="14"/>
  <c r="S98" i="14"/>
  <c r="Q98" i="14"/>
  <c r="R98" i="14"/>
  <c r="M98" i="14"/>
  <c r="L98" i="14"/>
  <c r="AD97" i="14"/>
  <c r="X97" i="14"/>
  <c r="N97" i="14"/>
  <c r="T97" i="14"/>
  <c r="U97" i="14"/>
  <c r="S97" i="14"/>
  <c r="Q97" i="14"/>
  <c r="R97" i="14"/>
  <c r="M97" i="14"/>
  <c r="L97" i="14"/>
  <c r="AD96" i="14"/>
  <c r="X96" i="14"/>
  <c r="N96" i="14"/>
  <c r="T96" i="14"/>
  <c r="U96" i="14"/>
  <c r="S96" i="14"/>
  <c r="Q96" i="14"/>
  <c r="R96" i="14"/>
  <c r="M96" i="14"/>
  <c r="L96" i="14"/>
  <c r="AD95" i="14"/>
  <c r="X95" i="14"/>
  <c r="N95" i="14"/>
  <c r="T95" i="14"/>
  <c r="U95" i="14"/>
  <c r="S95" i="14"/>
  <c r="Q95" i="14"/>
  <c r="R95" i="14"/>
  <c r="M95" i="14"/>
  <c r="L95" i="14"/>
  <c r="AD94" i="14"/>
  <c r="X94" i="14"/>
  <c r="N94" i="14"/>
  <c r="T94" i="14"/>
  <c r="U94" i="14"/>
  <c r="S94" i="14"/>
  <c r="Q94" i="14"/>
  <c r="R94" i="14"/>
  <c r="M94" i="14"/>
  <c r="L94" i="14"/>
  <c r="AD93" i="14"/>
  <c r="X93" i="14"/>
  <c r="N93" i="14"/>
  <c r="T93" i="14"/>
  <c r="U93" i="14"/>
  <c r="S93" i="14"/>
  <c r="Q93" i="14"/>
  <c r="R93" i="14"/>
  <c r="M93" i="14"/>
  <c r="L93" i="14"/>
  <c r="AD92" i="14"/>
  <c r="X92" i="14"/>
  <c r="N92" i="14"/>
  <c r="T92" i="14"/>
  <c r="U92" i="14"/>
  <c r="S92" i="14"/>
  <c r="Q92" i="14"/>
  <c r="R92" i="14"/>
  <c r="M92" i="14"/>
  <c r="L92" i="14"/>
  <c r="AD91" i="14"/>
  <c r="X91" i="14"/>
  <c r="N91" i="14"/>
  <c r="T91" i="14"/>
  <c r="U91" i="14"/>
  <c r="S91" i="14"/>
  <c r="Q91" i="14"/>
  <c r="R91" i="14"/>
  <c r="M91" i="14"/>
  <c r="L91" i="14"/>
  <c r="AC90" i="14"/>
  <c r="AD90" i="14"/>
  <c r="W90" i="14"/>
  <c r="X90" i="14"/>
  <c r="U90" i="14"/>
  <c r="T90" i="14"/>
  <c r="S90" i="14"/>
  <c r="K90" i="14"/>
  <c r="Q90" i="14"/>
  <c r="R90" i="14"/>
  <c r="N90" i="14"/>
  <c r="M90" i="14"/>
  <c r="L90" i="14"/>
  <c r="AD89" i="14"/>
  <c r="X89" i="14"/>
  <c r="N89" i="14"/>
  <c r="T89" i="14"/>
  <c r="U89" i="14"/>
  <c r="P73" i="13"/>
  <c r="S89" i="14"/>
  <c r="Q89" i="14"/>
  <c r="R89" i="14"/>
  <c r="M89" i="14"/>
  <c r="L89" i="14"/>
  <c r="AD88" i="14"/>
  <c r="X88" i="14"/>
  <c r="N88" i="14"/>
  <c r="T88" i="14"/>
  <c r="U88" i="14"/>
  <c r="S88" i="14"/>
  <c r="Q88" i="14"/>
  <c r="R88" i="14"/>
  <c r="M88" i="14"/>
  <c r="L88" i="14"/>
  <c r="AD87" i="14"/>
  <c r="X87" i="14"/>
  <c r="N87" i="14"/>
  <c r="T87" i="14"/>
  <c r="U87" i="14"/>
  <c r="S87" i="14"/>
  <c r="Q87" i="14"/>
  <c r="R87" i="14"/>
  <c r="M87" i="14"/>
  <c r="L87" i="14"/>
  <c r="AD86" i="14"/>
  <c r="X86" i="14"/>
  <c r="N86" i="14"/>
  <c r="T86" i="14"/>
  <c r="U86" i="14"/>
  <c r="S86" i="14"/>
  <c r="Q86" i="14"/>
  <c r="R86" i="14"/>
  <c r="M86" i="14"/>
  <c r="L86" i="14"/>
  <c r="AD85" i="14"/>
  <c r="X85" i="14"/>
  <c r="N85" i="14"/>
  <c r="T85" i="14"/>
  <c r="U85" i="14"/>
  <c r="S85" i="14"/>
  <c r="Q85" i="14"/>
  <c r="R85" i="14"/>
  <c r="M85" i="14"/>
  <c r="L85" i="14"/>
  <c r="AD84" i="14"/>
  <c r="X84" i="14"/>
  <c r="N84" i="14"/>
  <c r="T84" i="14"/>
  <c r="U84" i="14"/>
  <c r="S84" i="14"/>
  <c r="Q84" i="14"/>
  <c r="R84" i="14"/>
  <c r="M84" i="14"/>
  <c r="L84" i="14"/>
  <c r="AD83" i="14"/>
  <c r="X83" i="14"/>
  <c r="N83" i="14"/>
  <c r="T83" i="14"/>
  <c r="U83" i="14"/>
  <c r="S83" i="14"/>
  <c r="Q83" i="14"/>
  <c r="R83" i="14"/>
  <c r="M83" i="14"/>
  <c r="L83" i="14"/>
  <c r="AD82" i="14"/>
  <c r="X82" i="14"/>
  <c r="N82" i="14"/>
  <c r="T82" i="14"/>
  <c r="U82" i="14"/>
  <c r="S82" i="14"/>
  <c r="Q82" i="14"/>
  <c r="R82" i="14"/>
  <c r="M82" i="14"/>
  <c r="L82" i="14"/>
  <c r="AC81" i="14"/>
  <c r="AD81" i="14"/>
  <c r="W81" i="14"/>
  <c r="X81" i="14"/>
  <c r="U81" i="14"/>
  <c r="T81" i="14"/>
  <c r="S81" i="14"/>
  <c r="K81" i="14"/>
  <c r="Q81" i="14"/>
  <c r="R81" i="14"/>
  <c r="N81" i="14"/>
  <c r="M81" i="14"/>
  <c r="L81" i="14"/>
  <c r="N80" i="14"/>
  <c r="T80" i="14"/>
  <c r="U80" i="14"/>
  <c r="P72" i="13"/>
  <c r="S80" i="14"/>
  <c r="Q80" i="14"/>
  <c r="R80" i="14"/>
  <c r="M80" i="14"/>
  <c r="L80" i="14"/>
  <c r="AD79" i="14"/>
  <c r="X79" i="14"/>
  <c r="N79" i="14"/>
  <c r="T79" i="14"/>
  <c r="U79" i="14"/>
  <c r="S79" i="14"/>
  <c r="Q79" i="14"/>
  <c r="R79" i="14"/>
  <c r="M79" i="14"/>
  <c r="L79" i="14"/>
  <c r="AD78" i="14"/>
  <c r="X78" i="14"/>
  <c r="N78" i="14"/>
  <c r="T78" i="14"/>
  <c r="U78" i="14"/>
  <c r="S78" i="14"/>
  <c r="Q78" i="14"/>
  <c r="R78" i="14"/>
  <c r="M78" i="14"/>
  <c r="L78" i="14"/>
  <c r="AD77" i="14"/>
  <c r="X77" i="14"/>
  <c r="N77" i="14"/>
  <c r="T77" i="14"/>
  <c r="U77" i="14"/>
  <c r="S77" i="14"/>
  <c r="Q77" i="14"/>
  <c r="R77" i="14"/>
  <c r="M77" i="14"/>
  <c r="L77" i="14"/>
  <c r="AD76" i="14"/>
  <c r="X76" i="14"/>
  <c r="N76" i="14"/>
  <c r="T76" i="14"/>
  <c r="U76" i="14"/>
  <c r="S76" i="14"/>
  <c r="Q76" i="14"/>
  <c r="R76" i="14"/>
  <c r="M76" i="14"/>
  <c r="L76" i="14"/>
  <c r="AD75" i="14"/>
  <c r="X75" i="14"/>
  <c r="N75" i="14"/>
  <c r="T75" i="14"/>
  <c r="U75" i="14"/>
  <c r="S75" i="14"/>
  <c r="Q75" i="14"/>
  <c r="R75" i="14"/>
  <c r="M75" i="14"/>
  <c r="L75" i="14"/>
  <c r="AD74" i="14"/>
  <c r="X74" i="14"/>
  <c r="N74" i="14"/>
  <c r="T74" i="14"/>
  <c r="U74" i="14"/>
  <c r="S74" i="14"/>
  <c r="Q74" i="14"/>
  <c r="R74" i="14"/>
  <c r="M74" i="14"/>
  <c r="L74" i="14"/>
  <c r="AD73" i="14"/>
  <c r="X73" i="14"/>
  <c r="N73" i="14"/>
  <c r="T73" i="14"/>
  <c r="U73" i="14"/>
  <c r="S73" i="14"/>
  <c r="Q73" i="14"/>
  <c r="R73" i="14"/>
  <c r="M73" i="14"/>
  <c r="L73" i="14"/>
  <c r="AD72" i="14"/>
  <c r="X72" i="14"/>
  <c r="N72" i="14"/>
  <c r="T72" i="14"/>
  <c r="U72" i="14"/>
  <c r="S72" i="14"/>
  <c r="Q72" i="14"/>
  <c r="R72" i="14"/>
  <c r="M72" i="14"/>
  <c r="L72" i="14"/>
  <c r="AD71" i="14"/>
  <c r="X71" i="14"/>
  <c r="N71" i="14"/>
  <c r="T71" i="14"/>
  <c r="U71" i="14"/>
  <c r="S71" i="14"/>
  <c r="Q71" i="14"/>
  <c r="R71" i="14"/>
  <c r="M71" i="14"/>
  <c r="L71" i="14"/>
  <c r="AD70" i="14"/>
  <c r="X70" i="14"/>
  <c r="N70" i="14"/>
  <c r="T70" i="14"/>
  <c r="U70" i="14"/>
  <c r="S70" i="14"/>
  <c r="Q70" i="14"/>
  <c r="R70" i="14"/>
  <c r="M70" i="14"/>
  <c r="L70" i="14"/>
  <c r="AD69" i="14"/>
  <c r="X69" i="14"/>
  <c r="N69" i="14"/>
  <c r="T69" i="14"/>
  <c r="U69" i="14"/>
  <c r="S69" i="14"/>
  <c r="Q69" i="14"/>
  <c r="R69" i="14"/>
  <c r="M69" i="14"/>
  <c r="L69" i="14"/>
  <c r="AD68" i="14"/>
  <c r="X68" i="14"/>
  <c r="N68" i="14"/>
  <c r="T68" i="14"/>
  <c r="U68" i="14"/>
  <c r="S68" i="14"/>
  <c r="Q68" i="14"/>
  <c r="R68" i="14"/>
  <c r="M68" i="14"/>
  <c r="L68" i="14"/>
  <c r="AD67" i="14"/>
  <c r="X67" i="14"/>
  <c r="N67" i="14"/>
  <c r="T67" i="14"/>
  <c r="U67" i="14"/>
  <c r="S67" i="14"/>
  <c r="Q67" i="14"/>
  <c r="R67" i="14"/>
  <c r="M67" i="14"/>
  <c r="L67" i="14"/>
  <c r="AD66" i="14"/>
  <c r="X66" i="14"/>
  <c r="N66" i="14"/>
  <c r="T66" i="14"/>
  <c r="U66" i="14"/>
  <c r="S66" i="14"/>
  <c r="Q66" i="14"/>
  <c r="R66" i="14"/>
  <c r="M66" i="14"/>
  <c r="L66" i="14"/>
  <c r="AD65" i="14"/>
  <c r="X65" i="14"/>
  <c r="N65" i="14"/>
  <c r="T65" i="14"/>
  <c r="U65" i="14"/>
  <c r="S65" i="14"/>
  <c r="Q65" i="14"/>
  <c r="R65" i="14"/>
  <c r="M65" i="14"/>
  <c r="L65" i="14"/>
  <c r="AD64" i="14"/>
  <c r="X64" i="14"/>
  <c r="N64" i="14"/>
  <c r="T64" i="14"/>
  <c r="U64" i="14"/>
  <c r="S64" i="14"/>
  <c r="Q64" i="14"/>
  <c r="R64" i="14"/>
  <c r="M64" i="14"/>
  <c r="L64" i="14"/>
  <c r="AD63" i="14"/>
  <c r="X63" i="14"/>
  <c r="N63" i="14"/>
  <c r="T63" i="14"/>
  <c r="U63" i="14"/>
  <c r="S63" i="14"/>
  <c r="Q63" i="14"/>
  <c r="R63" i="14"/>
  <c r="M63" i="14"/>
  <c r="L63" i="14"/>
  <c r="AD62" i="14"/>
  <c r="X62" i="14"/>
  <c r="N62" i="14"/>
  <c r="T62" i="14"/>
  <c r="U62" i="14"/>
  <c r="S62" i="14"/>
  <c r="Q62" i="14"/>
  <c r="R62" i="14"/>
  <c r="M62" i="14"/>
  <c r="L62" i="14"/>
  <c r="AD61" i="14"/>
  <c r="X61" i="14"/>
  <c r="N61" i="14"/>
  <c r="T61" i="14"/>
  <c r="U61" i="14"/>
  <c r="S61" i="14"/>
  <c r="Q61" i="14"/>
  <c r="R61" i="14"/>
  <c r="M61" i="14"/>
  <c r="L61" i="14"/>
  <c r="AD60" i="14"/>
  <c r="X60" i="14"/>
  <c r="N60" i="14"/>
  <c r="T60" i="14"/>
  <c r="U60" i="14"/>
  <c r="S60" i="14"/>
  <c r="Q60" i="14"/>
  <c r="R60" i="14"/>
  <c r="M60" i="14"/>
  <c r="L60" i="14"/>
  <c r="AD59" i="14"/>
  <c r="X59" i="14"/>
  <c r="N59" i="14"/>
  <c r="T59" i="14"/>
  <c r="U59" i="14"/>
  <c r="S59" i="14"/>
  <c r="Q59" i="14"/>
  <c r="R59" i="14"/>
  <c r="M59" i="14"/>
  <c r="L59" i="14"/>
  <c r="AD58" i="14"/>
  <c r="X58" i="14"/>
  <c r="N58" i="14"/>
  <c r="T58" i="14"/>
  <c r="U58" i="14"/>
  <c r="S58" i="14"/>
  <c r="Q58" i="14"/>
  <c r="R58" i="14"/>
  <c r="M58" i="14"/>
  <c r="L58" i="14"/>
  <c r="AD57" i="14"/>
  <c r="X57" i="14"/>
  <c r="N57" i="14"/>
  <c r="T57" i="14"/>
  <c r="U57" i="14"/>
  <c r="S57" i="14"/>
  <c r="Q57" i="14"/>
  <c r="R57" i="14"/>
  <c r="M57" i="14"/>
  <c r="L57" i="14"/>
  <c r="AD56" i="14"/>
  <c r="X56" i="14"/>
  <c r="N56" i="14"/>
  <c r="T56" i="14"/>
  <c r="U56" i="14"/>
  <c r="S56" i="14"/>
  <c r="Q56" i="14"/>
  <c r="R56" i="14"/>
  <c r="M56" i="14"/>
  <c r="L56" i="14"/>
  <c r="AD55" i="14"/>
  <c r="X55" i="14"/>
  <c r="N55" i="14"/>
  <c r="T55" i="14"/>
  <c r="U55" i="14"/>
  <c r="S55" i="14"/>
  <c r="Q55" i="14"/>
  <c r="R55" i="14"/>
  <c r="M55" i="14"/>
  <c r="L55" i="14"/>
  <c r="AD54" i="14"/>
  <c r="X54" i="14"/>
  <c r="N54" i="14"/>
  <c r="T54" i="14"/>
  <c r="U54" i="14"/>
  <c r="S54" i="14"/>
  <c r="Q54" i="14"/>
  <c r="R54" i="14"/>
  <c r="M54" i="14"/>
  <c r="L54" i="14"/>
  <c r="AD53" i="14"/>
  <c r="X53" i="14"/>
  <c r="N53" i="14"/>
  <c r="T53" i="14"/>
  <c r="U53" i="14"/>
  <c r="S53" i="14"/>
  <c r="Q53" i="14"/>
  <c r="R53" i="14"/>
  <c r="M53" i="14"/>
  <c r="L53" i="14"/>
  <c r="AD52" i="14"/>
  <c r="X52" i="14"/>
  <c r="N52" i="14"/>
  <c r="T52" i="14"/>
  <c r="U52" i="14"/>
  <c r="S52" i="14"/>
  <c r="Q52" i="14"/>
  <c r="R52" i="14"/>
  <c r="M52" i="14"/>
  <c r="L52" i="14"/>
  <c r="AD51" i="14"/>
  <c r="X51" i="14"/>
  <c r="N51" i="14"/>
  <c r="T51" i="14"/>
  <c r="U51" i="14"/>
  <c r="S51" i="14"/>
  <c r="Q51" i="14"/>
  <c r="R51" i="14"/>
  <c r="M51" i="14"/>
  <c r="L51" i="14"/>
  <c r="AD50" i="14"/>
  <c r="X50" i="14"/>
  <c r="N50" i="14"/>
  <c r="T50" i="14"/>
  <c r="U50" i="14"/>
  <c r="S50" i="14"/>
  <c r="Q50" i="14"/>
  <c r="R50" i="14"/>
  <c r="M50" i="14"/>
  <c r="L50" i="14"/>
  <c r="AC49" i="14"/>
  <c r="AD49" i="14"/>
  <c r="W49" i="14"/>
  <c r="X49" i="14"/>
  <c r="U49" i="14"/>
  <c r="T49" i="14"/>
  <c r="S49" i="14"/>
  <c r="K49" i="14"/>
  <c r="Q49" i="14"/>
  <c r="R49" i="14"/>
  <c r="N49" i="14"/>
  <c r="M49" i="14"/>
  <c r="L49" i="14"/>
  <c r="AD48" i="14"/>
  <c r="X48" i="14"/>
  <c r="N48" i="14"/>
  <c r="T48" i="14"/>
  <c r="U48" i="14"/>
  <c r="P71" i="13"/>
  <c r="S48" i="14"/>
  <c r="Q48" i="14"/>
  <c r="R48" i="14"/>
  <c r="M48" i="14"/>
  <c r="L48" i="14"/>
  <c r="AD47" i="14"/>
  <c r="X47" i="14"/>
  <c r="N47" i="14"/>
  <c r="T47" i="14"/>
  <c r="U47" i="14"/>
  <c r="S47" i="14"/>
  <c r="Q47" i="14"/>
  <c r="R47" i="14"/>
  <c r="M47" i="14"/>
  <c r="L47" i="14"/>
  <c r="AD46" i="14"/>
  <c r="X46" i="14"/>
  <c r="N46" i="14"/>
  <c r="T46" i="14"/>
  <c r="U46" i="14"/>
  <c r="S46" i="14"/>
  <c r="Q46" i="14"/>
  <c r="R46" i="14"/>
  <c r="M46" i="14"/>
  <c r="L46" i="14"/>
  <c r="AD45" i="14"/>
  <c r="X45" i="14"/>
  <c r="N45" i="14"/>
  <c r="T45" i="14"/>
  <c r="U45" i="14"/>
  <c r="S45" i="14"/>
  <c r="Q45" i="14"/>
  <c r="R45" i="14"/>
  <c r="M45" i="14"/>
  <c r="L45" i="14"/>
  <c r="AD44" i="14"/>
  <c r="X44" i="14"/>
  <c r="N44" i="14"/>
  <c r="T44" i="14"/>
  <c r="U44" i="14"/>
  <c r="S44" i="14"/>
  <c r="Q44" i="14"/>
  <c r="R44" i="14"/>
  <c r="M44" i="14"/>
  <c r="L44" i="14"/>
  <c r="AD43" i="14"/>
  <c r="X43" i="14"/>
  <c r="N43" i="14"/>
  <c r="T43" i="14"/>
  <c r="U43" i="14"/>
  <c r="S43" i="14"/>
  <c r="Q43" i="14"/>
  <c r="R43" i="14"/>
  <c r="M43" i="14"/>
  <c r="L43" i="14"/>
  <c r="AD42" i="14"/>
  <c r="X42" i="14"/>
  <c r="N42" i="14"/>
  <c r="T42" i="14"/>
  <c r="U42" i="14"/>
  <c r="S42" i="14"/>
  <c r="Q42" i="14"/>
  <c r="R42" i="14"/>
  <c r="M42" i="14"/>
  <c r="L42" i="14"/>
  <c r="AD41" i="14"/>
  <c r="X41" i="14"/>
  <c r="N41" i="14"/>
  <c r="T41" i="14"/>
  <c r="U41" i="14"/>
  <c r="S41" i="14"/>
  <c r="Q41" i="14"/>
  <c r="R41" i="14"/>
  <c r="M41" i="14"/>
  <c r="L41" i="14"/>
  <c r="AD40" i="14"/>
  <c r="X40" i="14"/>
  <c r="N40" i="14"/>
  <c r="T40" i="14"/>
  <c r="U40" i="14"/>
  <c r="S40" i="14"/>
  <c r="Q40" i="14"/>
  <c r="R40" i="14"/>
  <c r="M40" i="14"/>
  <c r="L40" i="14"/>
  <c r="AC39" i="14"/>
  <c r="AD39" i="14"/>
  <c r="W39" i="14"/>
  <c r="X39" i="14"/>
  <c r="U39" i="14"/>
  <c r="T39" i="14"/>
  <c r="S39" i="14"/>
  <c r="K39" i="14"/>
  <c r="Q39" i="14"/>
  <c r="R39" i="14"/>
  <c r="N39" i="14"/>
  <c r="M39" i="14"/>
  <c r="L39" i="14"/>
  <c r="AD38" i="14"/>
  <c r="X38" i="14"/>
  <c r="N38" i="14"/>
  <c r="T38" i="14"/>
  <c r="U38" i="14"/>
  <c r="P74" i="13"/>
  <c r="S38" i="14"/>
  <c r="Q38" i="14"/>
  <c r="R38" i="14"/>
  <c r="M38" i="14"/>
  <c r="L38" i="14"/>
  <c r="AD37" i="14"/>
  <c r="X37" i="14"/>
  <c r="N37" i="14"/>
  <c r="T37" i="14"/>
  <c r="U37" i="14"/>
  <c r="S37" i="14"/>
  <c r="Q37" i="14"/>
  <c r="R37" i="14"/>
  <c r="M37" i="14"/>
  <c r="L37" i="14"/>
  <c r="AD36" i="14"/>
  <c r="X36" i="14"/>
  <c r="N36" i="14"/>
  <c r="T36" i="14"/>
  <c r="U36" i="14"/>
  <c r="S36" i="14"/>
  <c r="Q36" i="14"/>
  <c r="R36" i="14"/>
  <c r="M36" i="14"/>
  <c r="L36" i="14"/>
  <c r="AD35" i="14"/>
  <c r="X35" i="14"/>
  <c r="N35" i="14"/>
  <c r="T35" i="14"/>
  <c r="U35" i="14"/>
  <c r="S35" i="14"/>
  <c r="Q35" i="14"/>
  <c r="R35" i="14"/>
  <c r="M35" i="14"/>
  <c r="L35" i="14"/>
  <c r="AD34" i="14"/>
  <c r="X34" i="14"/>
  <c r="N34" i="14"/>
  <c r="T34" i="14"/>
  <c r="U34" i="14"/>
  <c r="S34" i="14"/>
  <c r="Q34" i="14"/>
  <c r="R34" i="14"/>
  <c r="M34" i="14"/>
  <c r="L34" i="14"/>
  <c r="AD33" i="14"/>
  <c r="X33" i="14"/>
  <c r="N33" i="14"/>
  <c r="T33" i="14"/>
  <c r="U33" i="14"/>
  <c r="S33" i="14"/>
  <c r="Q33" i="14"/>
  <c r="R33" i="14"/>
  <c r="M33" i="14"/>
  <c r="L33" i="14"/>
  <c r="AD32" i="14"/>
  <c r="X32" i="14"/>
  <c r="N32" i="14"/>
  <c r="T32" i="14"/>
  <c r="U32" i="14"/>
  <c r="S32" i="14"/>
  <c r="Q32" i="14"/>
  <c r="R32" i="14"/>
  <c r="M32" i="14"/>
  <c r="L32" i="14"/>
  <c r="AD31" i="14"/>
  <c r="X31" i="14"/>
  <c r="N31" i="14"/>
  <c r="T31" i="14"/>
  <c r="U31" i="14"/>
  <c r="S31" i="14"/>
  <c r="Q31" i="14"/>
  <c r="R31" i="14"/>
  <c r="M31" i="14"/>
  <c r="L31" i="14"/>
  <c r="AD30" i="14"/>
  <c r="X30" i="14"/>
  <c r="N30" i="14"/>
  <c r="T30" i="14"/>
  <c r="U30" i="14"/>
  <c r="S30" i="14"/>
  <c r="Q30" i="14"/>
  <c r="R30" i="14"/>
  <c r="M30" i="14"/>
  <c r="L30" i="14"/>
  <c r="AD29" i="14"/>
  <c r="X29" i="14"/>
  <c r="N29" i="14"/>
  <c r="T29" i="14"/>
  <c r="U29" i="14"/>
  <c r="S29" i="14"/>
  <c r="Q29" i="14"/>
  <c r="R29" i="14"/>
  <c r="M29" i="14"/>
  <c r="L29" i="14"/>
  <c r="AD28" i="14"/>
  <c r="X28" i="14"/>
  <c r="N28" i="14"/>
  <c r="T28" i="14"/>
  <c r="U28" i="14"/>
  <c r="S28" i="14"/>
  <c r="Q28" i="14"/>
  <c r="R28" i="14"/>
  <c r="M28" i="14"/>
  <c r="L28" i="14"/>
  <c r="AC27" i="14"/>
  <c r="AD27" i="14"/>
  <c r="W27" i="14"/>
  <c r="X27" i="14"/>
  <c r="U27" i="14"/>
  <c r="T27" i="14"/>
  <c r="S27" i="14"/>
  <c r="K27" i="14"/>
  <c r="Q27" i="14"/>
  <c r="R27" i="14"/>
  <c r="N27" i="14"/>
  <c r="M27" i="14"/>
  <c r="L27" i="14"/>
  <c r="J27" i="14"/>
  <c r="N26" i="14"/>
  <c r="T26" i="14"/>
  <c r="U26" i="14"/>
  <c r="S26" i="14"/>
  <c r="K26" i="14"/>
  <c r="Q26" i="14"/>
  <c r="R26" i="14"/>
  <c r="M26" i="14"/>
  <c r="L26" i="14"/>
  <c r="N25" i="14"/>
  <c r="T25" i="14"/>
  <c r="U25" i="14"/>
  <c r="S25" i="14"/>
  <c r="K25" i="14"/>
  <c r="Q25" i="14"/>
  <c r="R25" i="14"/>
  <c r="M25" i="14"/>
  <c r="L25" i="14"/>
  <c r="AC24" i="14"/>
  <c r="AD24" i="14"/>
  <c r="W24" i="14"/>
  <c r="X24" i="14"/>
  <c r="U24" i="14"/>
  <c r="T24" i="14"/>
  <c r="S24" i="14"/>
  <c r="K24" i="14"/>
  <c r="Q24" i="14"/>
  <c r="R24" i="14"/>
  <c r="N24" i="14"/>
  <c r="M24" i="14"/>
  <c r="L24" i="14"/>
  <c r="J24" i="14"/>
  <c r="Q23" i="14"/>
  <c r="AC22" i="14"/>
  <c r="AD22" i="14"/>
  <c r="N22" i="14"/>
  <c r="T22" i="14"/>
  <c r="S22" i="14"/>
  <c r="W22" i="14"/>
  <c r="X22" i="14"/>
  <c r="K22" i="14"/>
  <c r="Q22" i="14"/>
  <c r="R22" i="14"/>
  <c r="M22" i="14"/>
  <c r="L22" i="14"/>
  <c r="AC21" i="14"/>
  <c r="AD21" i="14"/>
  <c r="N21" i="14"/>
  <c r="T21" i="14"/>
  <c r="S21" i="14"/>
  <c r="W21" i="14"/>
  <c r="X21" i="14"/>
  <c r="K21" i="14"/>
  <c r="Q21" i="14"/>
  <c r="R21" i="14"/>
  <c r="M21" i="14"/>
  <c r="L21" i="14"/>
  <c r="AF20" i="14"/>
  <c r="AC20" i="14"/>
  <c r="AD20" i="14"/>
  <c r="N20" i="14"/>
  <c r="T20" i="14"/>
  <c r="S20" i="14"/>
  <c r="W20" i="14"/>
  <c r="X20" i="14"/>
  <c r="K20" i="14"/>
  <c r="Q20" i="14"/>
  <c r="R20" i="14"/>
  <c r="M20" i="14"/>
  <c r="L20" i="14"/>
  <c r="N19" i="14"/>
  <c r="T19" i="14"/>
  <c r="M3" i="10"/>
  <c r="AC19" i="14"/>
  <c r="AD19" i="14"/>
  <c r="S19" i="14"/>
  <c r="W19" i="14"/>
  <c r="X19" i="14"/>
  <c r="K19" i="14"/>
  <c r="Q19" i="14"/>
  <c r="R19" i="14"/>
  <c r="M19" i="14"/>
  <c r="L19" i="14"/>
  <c r="Q18" i="14"/>
  <c r="AC17" i="14"/>
  <c r="AD17" i="14"/>
  <c r="N17" i="14"/>
  <c r="T17" i="14"/>
  <c r="S17" i="14"/>
  <c r="W17" i="14"/>
  <c r="X17" i="14"/>
  <c r="K17" i="14"/>
  <c r="Q17" i="14"/>
  <c r="R17" i="14"/>
  <c r="M17" i="14"/>
  <c r="L17" i="14"/>
  <c r="AC16" i="14"/>
  <c r="AD16" i="14"/>
  <c r="N16" i="14"/>
  <c r="T16" i="14"/>
  <c r="S16" i="14"/>
  <c r="W16" i="14"/>
  <c r="X16" i="14"/>
  <c r="K16" i="14"/>
  <c r="Q16" i="14"/>
  <c r="R16" i="14"/>
  <c r="M16" i="14"/>
  <c r="L16" i="14"/>
  <c r="AC15" i="14"/>
  <c r="AD15" i="14"/>
  <c r="N15" i="14"/>
  <c r="T15" i="14"/>
  <c r="S15" i="14"/>
  <c r="W15" i="14"/>
  <c r="X15" i="14"/>
  <c r="K15" i="14"/>
  <c r="Q15" i="14"/>
  <c r="R15" i="14"/>
  <c r="M15" i="14"/>
  <c r="L15" i="14"/>
  <c r="AC14" i="14"/>
  <c r="AD14" i="14"/>
  <c r="N14" i="14"/>
  <c r="T14" i="14"/>
  <c r="S14" i="14"/>
  <c r="W14" i="14"/>
  <c r="X14" i="14"/>
  <c r="K14" i="14"/>
  <c r="Q14" i="14"/>
  <c r="R14" i="14"/>
  <c r="M14" i="14"/>
  <c r="L14" i="14"/>
  <c r="AC13" i="14"/>
  <c r="AD13" i="14"/>
  <c r="N13" i="14"/>
  <c r="T13" i="14"/>
  <c r="S13" i="14"/>
  <c r="W13" i="14"/>
  <c r="X13" i="14"/>
  <c r="K13" i="14"/>
  <c r="Q13" i="14"/>
  <c r="R13" i="14"/>
  <c r="M13" i="14"/>
  <c r="L13" i="14"/>
  <c r="AC12" i="14"/>
  <c r="AD12" i="14"/>
  <c r="N12" i="14"/>
  <c r="T12" i="14"/>
  <c r="S12" i="14"/>
  <c r="W12" i="14"/>
  <c r="X12" i="14"/>
  <c r="K12" i="14"/>
  <c r="Q12" i="14"/>
  <c r="R12" i="14"/>
  <c r="M12" i="14"/>
  <c r="L12" i="14"/>
  <c r="AC11" i="14"/>
  <c r="AD11" i="14"/>
  <c r="N11" i="14"/>
  <c r="T11" i="14"/>
  <c r="S11" i="14"/>
  <c r="W11" i="14"/>
  <c r="X11" i="14"/>
  <c r="K11" i="14"/>
  <c r="Q11" i="14"/>
  <c r="R11" i="14"/>
  <c r="M11" i="14"/>
  <c r="L11" i="14"/>
  <c r="Q10" i="14"/>
  <c r="AC9" i="14"/>
  <c r="AD9" i="14"/>
  <c r="N9" i="14"/>
  <c r="T9" i="14"/>
  <c r="S9" i="14"/>
  <c r="W9" i="14"/>
  <c r="X9" i="14"/>
  <c r="K9" i="14"/>
  <c r="Q9" i="14"/>
  <c r="R9" i="14"/>
  <c r="M9" i="14"/>
  <c r="L9" i="14"/>
  <c r="AC8" i="14"/>
  <c r="AD8" i="14"/>
  <c r="N8" i="14"/>
  <c r="T8" i="14"/>
  <c r="S8" i="14"/>
  <c r="W8" i="14"/>
  <c r="X8" i="14"/>
  <c r="K8" i="14"/>
  <c r="Q8" i="14"/>
  <c r="R8" i="14"/>
  <c r="M8" i="14"/>
  <c r="L8" i="14"/>
  <c r="AF7" i="14"/>
  <c r="AC7" i="14"/>
  <c r="AD7" i="14"/>
  <c r="N7" i="14"/>
  <c r="T7" i="14"/>
  <c r="S7" i="14"/>
  <c r="W7" i="14"/>
  <c r="X7" i="14"/>
  <c r="K7" i="14"/>
  <c r="Q7" i="14"/>
  <c r="R7" i="14"/>
  <c r="M7" i="14"/>
  <c r="L7" i="14"/>
  <c r="N6" i="14"/>
  <c r="T6" i="14"/>
  <c r="AC6" i="14"/>
  <c r="AD6" i="14"/>
  <c r="S6" i="14"/>
  <c r="W6" i="14"/>
  <c r="X6" i="14"/>
  <c r="K6" i="14"/>
  <c r="Q6" i="14"/>
  <c r="R6" i="14"/>
  <c r="M6" i="14"/>
  <c r="L6" i="14"/>
  <c r="F1" i="10"/>
  <c r="A4" i="10"/>
  <c r="A5" i="10"/>
  <c r="A6" i="10"/>
  <c r="A7" i="10"/>
  <c r="A8" i="10"/>
  <c r="A9" i="10"/>
  <c r="A10" i="10"/>
  <c r="A11" i="10"/>
  <c r="A12" i="10"/>
  <c r="AF78" i="13"/>
  <c r="AI78" i="13"/>
  <c r="AF77" i="13"/>
  <c r="AI77" i="13"/>
  <c r="AF76" i="13"/>
  <c r="AI76" i="13"/>
  <c r="AF75" i="13"/>
  <c r="AI75" i="13"/>
  <c r="AF74" i="13"/>
  <c r="AI74" i="13"/>
  <c r="AF73" i="13"/>
  <c r="AI73" i="13"/>
  <c r="AF72" i="13"/>
  <c r="AI72" i="13"/>
  <c r="AF71" i="13"/>
  <c r="AI71" i="13"/>
  <c r="Z78" i="13"/>
  <c r="AC78" i="13"/>
  <c r="Z77" i="13"/>
  <c r="AC77" i="13"/>
  <c r="Z76" i="13"/>
  <c r="AC76" i="13"/>
  <c r="Z75" i="13"/>
  <c r="AC75" i="13"/>
  <c r="Z74" i="13"/>
  <c r="AC74" i="13"/>
  <c r="Z73" i="13"/>
  <c r="AC73" i="13"/>
  <c r="Z72" i="13"/>
  <c r="AC72" i="13"/>
  <c r="Z71" i="13"/>
  <c r="AC71" i="13"/>
  <c r="T78" i="13"/>
  <c r="W78" i="13"/>
  <c r="T77" i="13"/>
  <c r="W77" i="13"/>
  <c r="T76" i="13"/>
  <c r="W76" i="13"/>
  <c r="T75" i="13"/>
  <c r="W75" i="13"/>
  <c r="T74" i="13"/>
  <c r="W74" i="13"/>
  <c r="T73" i="13"/>
  <c r="W73" i="13"/>
  <c r="T72" i="13"/>
  <c r="W72" i="13"/>
  <c r="T71" i="13"/>
  <c r="W71" i="13"/>
  <c r="H75" i="13"/>
  <c r="K75" i="13"/>
  <c r="I148" i="8"/>
  <c r="N148" i="8"/>
  <c r="T148" i="8"/>
  <c r="U148" i="8"/>
  <c r="U147" i="8"/>
  <c r="T147" i="8"/>
  <c r="S148" i="8"/>
  <c r="S147" i="8"/>
  <c r="I111" i="8"/>
  <c r="N111" i="8"/>
  <c r="T111" i="8"/>
  <c r="U111" i="8"/>
  <c r="I112" i="8"/>
  <c r="N112" i="8"/>
  <c r="T112" i="8"/>
  <c r="U112" i="8"/>
  <c r="I113" i="8"/>
  <c r="N113" i="8"/>
  <c r="T113" i="8"/>
  <c r="U113" i="8"/>
  <c r="I114" i="8"/>
  <c r="N114" i="8"/>
  <c r="T114" i="8"/>
  <c r="U114" i="8"/>
  <c r="I115" i="8"/>
  <c r="N115" i="8"/>
  <c r="T115" i="8"/>
  <c r="U115" i="8"/>
  <c r="I116" i="8"/>
  <c r="N116" i="8"/>
  <c r="T116" i="8"/>
  <c r="U116" i="8"/>
  <c r="I117" i="8"/>
  <c r="N117" i="8"/>
  <c r="T117" i="8"/>
  <c r="U117" i="8"/>
  <c r="I118" i="8"/>
  <c r="N118" i="8"/>
  <c r="T118" i="8"/>
  <c r="U118" i="8"/>
  <c r="I119" i="8"/>
  <c r="N119" i="8"/>
  <c r="T119" i="8"/>
  <c r="U119" i="8"/>
  <c r="I120" i="8"/>
  <c r="N120" i="8"/>
  <c r="T120" i="8"/>
  <c r="U120" i="8"/>
  <c r="I121" i="8"/>
  <c r="N121" i="8"/>
  <c r="T121" i="8"/>
  <c r="U121" i="8"/>
  <c r="I122" i="8"/>
  <c r="N122" i="8"/>
  <c r="T122" i="8"/>
  <c r="U122" i="8"/>
  <c r="I123" i="8"/>
  <c r="N123" i="8"/>
  <c r="T123" i="8"/>
  <c r="U123" i="8"/>
  <c r="I124" i="8"/>
  <c r="N124" i="8"/>
  <c r="T124" i="8"/>
  <c r="U124" i="8"/>
  <c r="I125" i="8"/>
  <c r="N125" i="8"/>
  <c r="T125" i="8"/>
  <c r="U125" i="8"/>
  <c r="I126" i="8"/>
  <c r="N126" i="8"/>
  <c r="T126" i="8"/>
  <c r="U126" i="8"/>
  <c r="I127" i="8"/>
  <c r="N127" i="8"/>
  <c r="T127" i="8"/>
  <c r="U127" i="8"/>
  <c r="I128" i="8"/>
  <c r="N128" i="8"/>
  <c r="T128" i="8"/>
  <c r="U128" i="8"/>
  <c r="I129" i="8"/>
  <c r="N129" i="8"/>
  <c r="T129" i="8"/>
  <c r="U129" i="8"/>
  <c r="I130" i="8"/>
  <c r="N130" i="8"/>
  <c r="T130" i="8"/>
  <c r="U130" i="8"/>
  <c r="I131" i="8"/>
  <c r="N131" i="8"/>
  <c r="T131" i="8"/>
  <c r="U131" i="8"/>
  <c r="I132" i="8"/>
  <c r="N132" i="8"/>
  <c r="T132" i="8"/>
  <c r="U132" i="8"/>
  <c r="I133" i="8"/>
  <c r="N133" i="8"/>
  <c r="T133" i="8"/>
  <c r="U133" i="8"/>
  <c r="I134" i="8"/>
  <c r="N134" i="8"/>
  <c r="T134" i="8"/>
  <c r="U134" i="8"/>
  <c r="I135" i="8"/>
  <c r="N135" i="8"/>
  <c r="T135" i="8"/>
  <c r="U135" i="8"/>
  <c r="I136" i="8"/>
  <c r="N136" i="8"/>
  <c r="T136" i="8"/>
  <c r="U136" i="8"/>
  <c r="I137" i="8"/>
  <c r="N137" i="8"/>
  <c r="T137" i="8"/>
  <c r="U137" i="8"/>
  <c r="I138" i="8"/>
  <c r="N138" i="8"/>
  <c r="T138" i="8"/>
  <c r="U138" i="8"/>
  <c r="I139" i="8"/>
  <c r="N139" i="8"/>
  <c r="T139" i="8"/>
  <c r="U139" i="8"/>
  <c r="I140" i="8"/>
  <c r="N140" i="8"/>
  <c r="T140" i="8"/>
  <c r="U140" i="8"/>
  <c r="I141" i="8"/>
  <c r="N141" i="8"/>
  <c r="T141" i="8"/>
  <c r="U141" i="8"/>
  <c r="I142" i="8"/>
  <c r="N142" i="8"/>
  <c r="T142" i="8"/>
  <c r="U142" i="8"/>
  <c r="I143" i="8"/>
  <c r="N143" i="8"/>
  <c r="T143" i="8"/>
  <c r="U143" i="8"/>
  <c r="I144" i="8"/>
  <c r="N144" i="8"/>
  <c r="T144" i="8"/>
  <c r="U144" i="8"/>
  <c r="I145" i="8"/>
  <c r="N145" i="8"/>
  <c r="T145" i="8"/>
  <c r="U145" i="8"/>
  <c r="I146" i="8"/>
  <c r="N146" i="8"/>
  <c r="T146" i="8"/>
  <c r="U146" i="8"/>
  <c r="U110" i="8"/>
  <c r="T110" i="8"/>
  <c r="S111" i="8"/>
  <c r="S112" i="8"/>
  <c r="S113" i="8"/>
  <c r="S114" i="8"/>
  <c r="S115" i="8"/>
  <c r="S116" i="8"/>
  <c r="S117" i="8"/>
  <c r="S118" i="8"/>
  <c r="S119" i="8"/>
  <c r="S120" i="8"/>
  <c r="S121" i="8"/>
  <c r="S122" i="8"/>
  <c r="S123" i="8"/>
  <c r="S124" i="8"/>
  <c r="S125" i="8"/>
  <c r="S126" i="8"/>
  <c r="S127" i="8"/>
  <c r="S128" i="8"/>
  <c r="S129" i="8"/>
  <c r="S130" i="8"/>
  <c r="S131" i="8"/>
  <c r="S132" i="8"/>
  <c r="S133" i="8"/>
  <c r="S134" i="8"/>
  <c r="S135" i="8"/>
  <c r="S136" i="8"/>
  <c r="S137" i="8"/>
  <c r="S138" i="8"/>
  <c r="S139" i="8"/>
  <c r="S140" i="8"/>
  <c r="S141" i="8"/>
  <c r="S142" i="8"/>
  <c r="S143" i="8"/>
  <c r="S144" i="8"/>
  <c r="S145" i="8"/>
  <c r="S146" i="8"/>
  <c r="S110" i="8"/>
  <c r="I91" i="8"/>
  <c r="N91" i="8"/>
  <c r="T91" i="8"/>
  <c r="U91" i="8"/>
  <c r="I92" i="8"/>
  <c r="N92" i="8"/>
  <c r="T92" i="8"/>
  <c r="U92" i="8"/>
  <c r="I93" i="8"/>
  <c r="N93" i="8"/>
  <c r="T93" i="8"/>
  <c r="U93" i="8"/>
  <c r="I94" i="8"/>
  <c r="N94" i="8"/>
  <c r="T94" i="8"/>
  <c r="U94" i="8"/>
  <c r="I95" i="8"/>
  <c r="N95" i="8"/>
  <c r="T95" i="8"/>
  <c r="U95" i="8"/>
  <c r="I96" i="8"/>
  <c r="N96" i="8"/>
  <c r="T96" i="8"/>
  <c r="U96" i="8"/>
  <c r="I97" i="8"/>
  <c r="N97" i="8"/>
  <c r="T97" i="8"/>
  <c r="U97" i="8"/>
  <c r="I98" i="8"/>
  <c r="N98" i="8"/>
  <c r="T98" i="8"/>
  <c r="U98" i="8"/>
  <c r="I99" i="8"/>
  <c r="N99" i="8"/>
  <c r="T99" i="8"/>
  <c r="U99" i="8"/>
  <c r="I100" i="8"/>
  <c r="N100" i="8"/>
  <c r="T100" i="8"/>
  <c r="U100" i="8"/>
  <c r="I101" i="8"/>
  <c r="N101" i="8"/>
  <c r="T101" i="8"/>
  <c r="U101" i="8"/>
  <c r="I102" i="8"/>
  <c r="N102" i="8"/>
  <c r="T102" i="8"/>
  <c r="U102" i="8"/>
  <c r="I103" i="8"/>
  <c r="N103" i="8"/>
  <c r="T103" i="8"/>
  <c r="U103" i="8"/>
  <c r="I104" i="8"/>
  <c r="N104" i="8"/>
  <c r="T104" i="8"/>
  <c r="U104" i="8"/>
  <c r="I105" i="8"/>
  <c r="N105" i="8"/>
  <c r="T105" i="8"/>
  <c r="U105" i="8"/>
  <c r="I106" i="8"/>
  <c r="N106" i="8"/>
  <c r="T106" i="8"/>
  <c r="U106" i="8"/>
  <c r="I107" i="8"/>
  <c r="N107" i="8"/>
  <c r="T107" i="8"/>
  <c r="U107" i="8"/>
  <c r="I108" i="8"/>
  <c r="N108" i="8"/>
  <c r="T108" i="8"/>
  <c r="U108" i="8"/>
  <c r="I109" i="8"/>
  <c r="N109" i="8"/>
  <c r="T109" i="8"/>
  <c r="U109" i="8"/>
  <c r="U90" i="8"/>
  <c r="T90" i="8"/>
  <c r="S91" i="8"/>
  <c r="S92" i="8"/>
  <c r="S93" i="8"/>
  <c r="S94" i="8"/>
  <c r="S95" i="8"/>
  <c r="S96" i="8"/>
  <c r="S97" i="8"/>
  <c r="S98" i="8"/>
  <c r="S99" i="8"/>
  <c r="S100" i="8"/>
  <c r="S101" i="8"/>
  <c r="S102" i="8"/>
  <c r="S103" i="8"/>
  <c r="S104" i="8"/>
  <c r="S105" i="8"/>
  <c r="S106" i="8"/>
  <c r="S107" i="8"/>
  <c r="S108" i="8"/>
  <c r="S109" i="8"/>
  <c r="S90" i="8"/>
  <c r="I82" i="8"/>
  <c r="N82" i="8"/>
  <c r="T82" i="8"/>
  <c r="U82" i="8"/>
  <c r="I83" i="8"/>
  <c r="N83" i="8"/>
  <c r="T83" i="8"/>
  <c r="U83" i="8"/>
  <c r="I84" i="8"/>
  <c r="N84" i="8"/>
  <c r="T84" i="8"/>
  <c r="U84" i="8"/>
  <c r="I85" i="8"/>
  <c r="N85" i="8"/>
  <c r="T85" i="8"/>
  <c r="U85" i="8"/>
  <c r="I86" i="8"/>
  <c r="N86" i="8"/>
  <c r="T86" i="8"/>
  <c r="U86" i="8"/>
  <c r="I87" i="8"/>
  <c r="N87" i="8"/>
  <c r="T87" i="8"/>
  <c r="U87" i="8"/>
  <c r="I88" i="8"/>
  <c r="N88" i="8"/>
  <c r="T88" i="8"/>
  <c r="U88" i="8"/>
  <c r="I89" i="8"/>
  <c r="N89" i="8"/>
  <c r="T89" i="8"/>
  <c r="U89" i="8"/>
  <c r="U81" i="8"/>
  <c r="T81" i="8"/>
  <c r="S82" i="8"/>
  <c r="S83" i="8"/>
  <c r="S84" i="8"/>
  <c r="S85" i="8"/>
  <c r="S86" i="8"/>
  <c r="S87" i="8"/>
  <c r="S88" i="8"/>
  <c r="S89" i="8"/>
  <c r="S81" i="8"/>
  <c r="I50" i="8"/>
  <c r="N50" i="8"/>
  <c r="T50" i="8"/>
  <c r="U50" i="8"/>
  <c r="I51" i="8"/>
  <c r="N51" i="8"/>
  <c r="T51" i="8"/>
  <c r="U51" i="8"/>
  <c r="I52" i="8"/>
  <c r="N52" i="8"/>
  <c r="T52" i="8"/>
  <c r="U52" i="8"/>
  <c r="I53" i="8"/>
  <c r="N53" i="8"/>
  <c r="T53" i="8"/>
  <c r="U53" i="8"/>
  <c r="I54" i="8"/>
  <c r="N54" i="8"/>
  <c r="T54" i="8"/>
  <c r="U54" i="8"/>
  <c r="I55" i="8"/>
  <c r="N55" i="8"/>
  <c r="T55" i="8"/>
  <c r="U55" i="8"/>
  <c r="I56" i="8"/>
  <c r="N56" i="8"/>
  <c r="T56" i="8"/>
  <c r="U56" i="8"/>
  <c r="I57" i="8"/>
  <c r="N57" i="8"/>
  <c r="T57" i="8"/>
  <c r="U57" i="8"/>
  <c r="I58" i="8"/>
  <c r="N58" i="8"/>
  <c r="T58" i="8"/>
  <c r="U58" i="8"/>
  <c r="I59" i="8"/>
  <c r="N59" i="8"/>
  <c r="T59" i="8"/>
  <c r="U59" i="8"/>
  <c r="I60" i="8"/>
  <c r="N60" i="8"/>
  <c r="T60" i="8"/>
  <c r="U60" i="8"/>
  <c r="I61" i="8"/>
  <c r="N61" i="8"/>
  <c r="T61" i="8"/>
  <c r="U61" i="8"/>
  <c r="I62" i="8"/>
  <c r="N62" i="8"/>
  <c r="T62" i="8"/>
  <c r="U62" i="8"/>
  <c r="I63" i="8"/>
  <c r="N63" i="8"/>
  <c r="T63" i="8"/>
  <c r="U63" i="8"/>
  <c r="I64" i="8"/>
  <c r="N64" i="8"/>
  <c r="T64" i="8"/>
  <c r="U64" i="8"/>
  <c r="I65" i="8"/>
  <c r="N65" i="8"/>
  <c r="T65" i="8"/>
  <c r="U65" i="8"/>
  <c r="I66" i="8"/>
  <c r="N66" i="8"/>
  <c r="T66" i="8"/>
  <c r="U66" i="8"/>
  <c r="I67" i="8"/>
  <c r="N67" i="8"/>
  <c r="T67" i="8"/>
  <c r="U67" i="8"/>
  <c r="I68" i="8"/>
  <c r="N68" i="8"/>
  <c r="T68" i="8"/>
  <c r="U68" i="8"/>
  <c r="I69" i="8"/>
  <c r="N69" i="8"/>
  <c r="T69" i="8"/>
  <c r="U69" i="8"/>
  <c r="I70" i="8"/>
  <c r="N70" i="8"/>
  <c r="T70" i="8"/>
  <c r="U70" i="8"/>
  <c r="I71" i="8"/>
  <c r="N71" i="8"/>
  <c r="T71" i="8"/>
  <c r="U71" i="8"/>
  <c r="I72" i="8"/>
  <c r="N72" i="8"/>
  <c r="T72" i="8"/>
  <c r="U72" i="8"/>
  <c r="I73" i="8"/>
  <c r="N73" i="8"/>
  <c r="T73" i="8"/>
  <c r="U73" i="8"/>
  <c r="I74" i="8"/>
  <c r="N74" i="8"/>
  <c r="T74" i="8"/>
  <c r="U74" i="8"/>
  <c r="I75" i="8"/>
  <c r="N75" i="8"/>
  <c r="T75" i="8"/>
  <c r="U75" i="8"/>
  <c r="I76" i="8"/>
  <c r="N76" i="8"/>
  <c r="T76" i="8"/>
  <c r="U76" i="8"/>
  <c r="I77" i="8"/>
  <c r="N77" i="8"/>
  <c r="T77" i="8"/>
  <c r="U77" i="8"/>
  <c r="I78" i="8"/>
  <c r="N78" i="8"/>
  <c r="T78" i="8"/>
  <c r="U78" i="8"/>
  <c r="I79" i="8"/>
  <c r="N79" i="8"/>
  <c r="T79" i="8"/>
  <c r="U79" i="8"/>
  <c r="I80" i="8"/>
  <c r="N80" i="8"/>
  <c r="T80" i="8"/>
  <c r="U80" i="8"/>
  <c r="U49" i="8"/>
  <c r="T49" i="8"/>
  <c r="S50" i="8"/>
  <c r="S51" i="8"/>
  <c r="S52" i="8"/>
  <c r="S53" i="8"/>
  <c r="S54" i="8"/>
  <c r="S55" i="8"/>
  <c r="S56" i="8"/>
  <c r="S57" i="8"/>
  <c r="S58" i="8"/>
  <c r="S59" i="8"/>
  <c r="S60" i="8"/>
  <c r="S61" i="8"/>
  <c r="S62" i="8"/>
  <c r="S63" i="8"/>
  <c r="S64" i="8"/>
  <c r="S65" i="8"/>
  <c r="S66" i="8"/>
  <c r="S67" i="8"/>
  <c r="S68" i="8"/>
  <c r="S69" i="8"/>
  <c r="S70" i="8"/>
  <c r="S71" i="8"/>
  <c r="S72" i="8"/>
  <c r="S73" i="8"/>
  <c r="S74" i="8"/>
  <c r="S75" i="8"/>
  <c r="S76" i="8"/>
  <c r="S77" i="8"/>
  <c r="S78" i="8"/>
  <c r="S79" i="8"/>
  <c r="S80" i="8"/>
  <c r="S49" i="8"/>
  <c r="I40" i="8"/>
  <c r="T40" i="8"/>
  <c r="U40" i="8"/>
  <c r="I41" i="8"/>
  <c r="N41" i="8"/>
  <c r="T41" i="8"/>
  <c r="U41" i="8"/>
  <c r="I42" i="8"/>
  <c r="N42" i="8"/>
  <c r="T42" i="8"/>
  <c r="U42" i="8"/>
  <c r="I43" i="8"/>
  <c r="N43" i="8"/>
  <c r="T43" i="8"/>
  <c r="U43" i="8"/>
  <c r="I44" i="8"/>
  <c r="N44" i="8"/>
  <c r="T44" i="8"/>
  <c r="U44" i="8"/>
  <c r="I45" i="8"/>
  <c r="N45" i="8"/>
  <c r="T45" i="8"/>
  <c r="U45" i="8"/>
  <c r="I46" i="8"/>
  <c r="N46" i="8"/>
  <c r="T46" i="8"/>
  <c r="U46" i="8"/>
  <c r="I47" i="8"/>
  <c r="N47" i="8"/>
  <c r="T47" i="8"/>
  <c r="U47" i="8"/>
  <c r="I48" i="8"/>
  <c r="N48" i="8"/>
  <c r="T48" i="8"/>
  <c r="U48" i="8"/>
  <c r="U39" i="8"/>
  <c r="T39" i="8"/>
  <c r="S40" i="8"/>
  <c r="S41" i="8"/>
  <c r="S42" i="8"/>
  <c r="S43" i="8"/>
  <c r="S44" i="8"/>
  <c r="S45" i="8"/>
  <c r="S46" i="8"/>
  <c r="S47" i="8"/>
  <c r="S48" i="8"/>
  <c r="S39" i="8"/>
  <c r="I28" i="8"/>
  <c r="T28" i="8"/>
  <c r="U28" i="8"/>
  <c r="I29" i="8"/>
  <c r="T29" i="8"/>
  <c r="I30" i="8"/>
  <c r="T30" i="8"/>
  <c r="I31" i="8"/>
  <c r="T31" i="8"/>
  <c r="I32" i="8"/>
  <c r="T32" i="8"/>
  <c r="I33" i="8"/>
  <c r="T33" i="8"/>
  <c r="I34" i="8"/>
  <c r="T34" i="8"/>
  <c r="I35" i="8"/>
  <c r="T35" i="8"/>
  <c r="I36" i="8"/>
  <c r="T36" i="8"/>
  <c r="I37" i="8"/>
  <c r="T37" i="8"/>
  <c r="I38" i="8"/>
  <c r="T38" i="8"/>
  <c r="U27" i="8"/>
  <c r="T27" i="8"/>
  <c r="S27" i="8"/>
  <c r="I25" i="8"/>
  <c r="I26" i="8"/>
  <c r="H22" i="8"/>
  <c r="I22" i="8"/>
  <c r="N22" i="8"/>
  <c r="H21" i="8"/>
  <c r="I21" i="8"/>
  <c r="N21" i="8"/>
  <c r="H20" i="8"/>
  <c r="I20" i="8"/>
  <c r="N20" i="8"/>
  <c r="H19" i="8"/>
  <c r="I19" i="8"/>
  <c r="N19" i="8"/>
  <c r="F17" i="8"/>
  <c r="H17" i="8"/>
  <c r="I17" i="8"/>
  <c r="N17" i="8"/>
  <c r="F16" i="8"/>
  <c r="H16" i="8"/>
  <c r="I16" i="8"/>
  <c r="N16" i="8"/>
  <c r="F15" i="8"/>
  <c r="H15" i="8"/>
  <c r="I15" i="8"/>
  <c r="N15" i="8"/>
  <c r="F14" i="8"/>
  <c r="H14" i="8"/>
  <c r="I14" i="8"/>
  <c r="N14" i="8"/>
  <c r="F13" i="8"/>
  <c r="H13" i="8"/>
  <c r="I13" i="8"/>
  <c r="N13" i="8"/>
  <c r="F12" i="8"/>
  <c r="H12" i="8"/>
  <c r="I12" i="8"/>
  <c r="N12" i="8"/>
  <c r="F11" i="8"/>
  <c r="H11" i="8"/>
  <c r="I11" i="8"/>
  <c r="N11" i="8"/>
  <c r="H9" i="8"/>
  <c r="I9" i="8"/>
  <c r="N9" i="8"/>
  <c r="H8" i="8"/>
  <c r="I8" i="8"/>
  <c r="N8" i="8"/>
  <c r="H7" i="8"/>
  <c r="I7" i="8"/>
  <c r="N7" i="8"/>
  <c r="H6" i="8"/>
  <c r="I6" i="8"/>
  <c r="N6" i="8"/>
  <c r="Q148" i="8"/>
  <c r="Q145" i="8"/>
  <c r="Q146" i="8"/>
  <c r="Q80" i="8"/>
  <c r="M147" i="8"/>
  <c r="N147" i="8"/>
  <c r="M110" i="8"/>
  <c r="N110" i="8"/>
  <c r="M90" i="8"/>
  <c r="N90" i="8"/>
  <c r="M81" i="8"/>
  <c r="N81" i="8"/>
  <c r="M49" i="8"/>
  <c r="N49" i="8"/>
  <c r="M40" i="8"/>
  <c r="M39" i="8"/>
  <c r="M27" i="8"/>
  <c r="I147" i="8"/>
  <c r="I110" i="8"/>
  <c r="I90" i="8"/>
  <c r="I81" i="8"/>
  <c r="I49" i="8"/>
  <c r="I39" i="8"/>
  <c r="K26" i="8"/>
  <c r="K25" i="8"/>
  <c r="AH78" i="13"/>
  <c r="AH77" i="13"/>
  <c r="AH76" i="13"/>
  <c r="AH75" i="13"/>
  <c r="AH74" i="13"/>
  <c r="AH73" i="13"/>
  <c r="AH72" i="13"/>
  <c r="AH71" i="13"/>
  <c r="AB78" i="13"/>
  <c r="AB77" i="13"/>
  <c r="AB76" i="13"/>
  <c r="AB75" i="13"/>
  <c r="AB74" i="13"/>
  <c r="AB73" i="13"/>
  <c r="AB72" i="13"/>
  <c r="AB71" i="13"/>
  <c r="V78" i="13"/>
  <c r="V77" i="13"/>
  <c r="V76" i="13"/>
  <c r="V75" i="13"/>
  <c r="V74" i="13"/>
  <c r="V73" i="13"/>
  <c r="V72" i="13"/>
  <c r="V71" i="13"/>
  <c r="P77" i="13"/>
  <c r="P75" i="13"/>
  <c r="J73" i="13"/>
  <c r="J74" i="13"/>
  <c r="J75" i="13"/>
  <c r="J76" i="13"/>
  <c r="J77" i="13"/>
  <c r="J78" i="13"/>
  <c r="J72" i="13"/>
  <c r="K11" i="13"/>
  <c r="K6" i="13"/>
  <c r="K4" i="13"/>
  <c r="K18" i="13"/>
  <c r="K16" i="13"/>
  <c r="K8" i="13"/>
  <c r="K7" i="13"/>
  <c r="K30" i="13"/>
  <c r="K32" i="13"/>
  <c r="K20" i="13"/>
  <c r="K12" i="13"/>
  <c r="K24" i="13"/>
  <c r="K39" i="13"/>
  <c r="K25" i="13"/>
  <c r="K22" i="13"/>
  <c r="K9" i="13"/>
  <c r="K2" i="13"/>
  <c r="K13" i="13"/>
  <c r="K38" i="13"/>
  <c r="K5" i="13"/>
  <c r="K14" i="13"/>
  <c r="K21" i="13"/>
  <c r="K26" i="13"/>
  <c r="K29" i="13"/>
  <c r="K3" i="13"/>
  <c r="K34" i="13"/>
  <c r="K10" i="13"/>
  <c r="K52" i="13"/>
  <c r="K33" i="13"/>
  <c r="K59" i="13"/>
  <c r="K41" i="13"/>
  <c r="K58" i="13"/>
  <c r="K50" i="13"/>
  <c r="K28" i="13"/>
  <c r="K37" i="13"/>
  <c r="K31" i="13"/>
  <c r="K44" i="13"/>
  <c r="K56" i="13"/>
  <c r="K23" i="13"/>
  <c r="K40" i="13"/>
  <c r="K46" i="13"/>
  <c r="K19" i="13"/>
  <c r="K15" i="13"/>
  <c r="K47" i="13"/>
  <c r="K36" i="13"/>
  <c r="K53" i="13"/>
  <c r="K42" i="13"/>
  <c r="K43" i="13"/>
  <c r="K35" i="13"/>
  <c r="K27" i="13"/>
  <c r="K45" i="13"/>
  <c r="K48" i="13"/>
  <c r="K17" i="13"/>
  <c r="K57" i="13"/>
  <c r="K51" i="13"/>
  <c r="K49" i="13"/>
  <c r="K54" i="13"/>
  <c r="K55" i="13"/>
  <c r="K63" i="13"/>
  <c r="K64" i="13"/>
  <c r="K65" i="13"/>
  <c r="K66" i="13"/>
  <c r="L11" i="13"/>
  <c r="L6" i="13"/>
  <c r="L4" i="13"/>
  <c r="L18" i="13"/>
  <c r="L16" i="13"/>
  <c r="L8" i="13"/>
  <c r="L7" i="13"/>
  <c r="L30" i="13"/>
  <c r="L32" i="13"/>
  <c r="L20" i="13"/>
  <c r="L12" i="13"/>
  <c r="L24" i="13"/>
  <c r="L39" i="13"/>
  <c r="L25" i="13"/>
  <c r="L22" i="13"/>
  <c r="L9" i="13"/>
  <c r="L2" i="13"/>
  <c r="L13" i="13"/>
  <c r="L38" i="13"/>
  <c r="L5" i="13"/>
  <c r="L14" i="13"/>
  <c r="L21" i="13"/>
  <c r="L26" i="13"/>
  <c r="L29" i="13"/>
  <c r="L3" i="13"/>
  <c r="L34" i="13"/>
  <c r="L10" i="13"/>
  <c r="L52" i="13"/>
  <c r="L33" i="13"/>
  <c r="L59" i="13"/>
  <c r="L41" i="13"/>
  <c r="L58" i="13"/>
  <c r="L50" i="13"/>
  <c r="L28" i="13"/>
  <c r="L37" i="13"/>
  <c r="L31" i="13"/>
  <c r="L44" i="13"/>
  <c r="L56" i="13"/>
  <c r="L23" i="13"/>
  <c r="L40" i="13"/>
  <c r="L46" i="13"/>
  <c r="L19" i="13"/>
  <c r="L15" i="13"/>
  <c r="L47" i="13"/>
  <c r="L36" i="13"/>
  <c r="L53" i="13"/>
  <c r="L42" i="13"/>
  <c r="L43" i="13"/>
  <c r="L35" i="13"/>
  <c r="L27" i="13"/>
  <c r="L45" i="13"/>
  <c r="L48" i="13"/>
  <c r="L17" i="13"/>
  <c r="L57" i="13"/>
  <c r="L51" i="13"/>
  <c r="L49" i="13"/>
  <c r="L54" i="13"/>
  <c r="L55" i="13"/>
  <c r="L63" i="13"/>
  <c r="L64" i="13"/>
  <c r="L65" i="13"/>
  <c r="L66" i="13"/>
  <c r="M66" i="13"/>
  <c r="M65" i="13"/>
  <c r="M64" i="13"/>
  <c r="M63" i="13"/>
  <c r="M55" i="13"/>
  <c r="J2" i="13"/>
  <c r="J3" i="13"/>
  <c r="J4" i="13"/>
  <c r="J5" i="13"/>
  <c r="J6" i="13"/>
  <c r="J12" i="13"/>
  <c r="J13" i="13"/>
  <c r="J14" i="13"/>
  <c r="J15" i="13"/>
  <c r="J16" i="13"/>
  <c r="J17" i="13"/>
  <c r="J18" i="13"/>
  <c r="J7" i="13"/>
  <c r="J8" i="13"/>
  <c r="J19" i="13"/>
  <c r="J20" i="13"/>
  <c r="J21" i="13"/>
  <c r="J22" i="13"/>
  <c r="J23" i="13"/>
  <c r="J24" i="13"/>
  <c r="J25" i="13"/>
  <c r="J26" i="13"/>
  <c r="J27" i="13"/>
  <c r="J28" i="13"/>
  <c r="J29" i="13"/>
  <c r="J30" i="13"/>
  <c r="J31" i="13"/>
  <c r="J32" i="13"/>
  <c r="J33" i="13"/>
  <c r="J34" i="13"/>
  <c r="J35" i="13"/>
  <c r="J36" i="13"/>
  <c r="J37" i="13"/>
  <c r="J38" i="13"/>
  <c r="J39" i="13"/>
  <c r="J9" i="13"/>
  <c r="J10" i="13"/>
  <c r="J40" i="13"/>
  <c r="J41" i="13"/>
  <c r="J42" i="13"/>
  <c r="J43" i="13"/>
  <c r="J44" i="13"/>
  <c r="J45" i="13"/>
  <c r="J46" i="13"/>
  <c r="J47" i="13"/>
  <c r="J48" i="13"/>
  <c r="J49" i="13"/>
  <c r="J50" i="13"/>
  <c r="J51" i="13"/>
  <c r="J52" i="13"/>
  <c r="J53" i="13"/>
  <c r="J54" i="13"/>
  <c r="J55" i="13"/>
  <c r="J56" i="13"/>
  <c r="J57" i="13"/>
  <c r="J58" i="13"/>
  <c r="J59" i="13"/>
  <c r="I55" i="13"/>
  <c r="M54" i="13"/>
  <c r="I54" i="13"/>
  <c r="M49" i="13"/>
  <c r="I49" i="13"/>
  <c r="M51" i="13"/>
  <c r="I51" i="13"/>
  <c r="M57" i="13"/>
  <c r="I57" i="13"/>
  <c r="M17" i="13"/>
  <c r="I17" i="13"/>
  <c r="M48" i="13"/>
  <c r="I48" i="13"/>
  <c r="M45" i="13"/>
  <c r="I45" i="13"/>
  <c r="M27" i="13"/>
  <c r="I27" i="13"/>
  <c r="M35" i="13"/>
  <c r="I35" i="13"/>
  <c r="M43" i="13"/>
  <c r="I43" i="13"/>
  <c r="M42" i="13"/>
  <c r="I42" i="13"/>
  <c r="M53" i="13"/>
  <c r="I53" i="13"/>
  <c r="M36" i="13"/>
  <c r="I36" i="13"/>
  <c r="M47" i="13"/>
  <c r="I47" i="13"/>
  <c r="M15" i="13"/>
  <c r="I15" i="13"/>
  <c r="M19" i="13"/>
  <c r="I19" i="13"/>
  <c r="M46" i="13"/>
  <c r="I46" i="13"/>
  <c r="M40" i="13"/>
  <c r="I40" i="13"/>
  <c r="M23" i="13"/>
  <c r="I23" i="13"/>
  <c r="M56" i="13"/>
  <c r="I56" i="13"/>
  <c r="M44" i="13"/>
  <c r="I44" i="13"/>
  <c r="M31" i="13"/>
  <c r="I31" i="13"/>
  <c r="M37" i="13"/>
  <c r="I37" i="13"/>
  <c r="M28" i="13"/>
  <c r="I28" i="13"/>
  <c r="M50" i="13"/>
  <c r="I50" i="13"/>
  <c r="M58" i="13"/>
  <c r="I58" i="13"/>
  <c r="M41" i="13"/>
  <c r="I41" i="13"/>
  <c r="M59" i="13"/>
  <c r="I59" i="13"/>
  <c r="M33" i="13"/>
  <c r="I33" i="13"/>
  <c r="M52" i="13"/>
  <c r="I52" i="13"/>
  <c r="M10" i="13"/>
  <c r="I10" i="13"/>
  <c r="M34" i="13"/>
  <c r="I34" i="13"/>
  <c r="M3" i="13"/>
  <c r="I3" i="13"/>
  <c r="M29" i="13"/>
  <c r="I29" i="13"/>
  <c r="M26" i="13"/>
  <c r="I26" i="13"/>
  <c r="M21" i="13"/>
  <c r="I21" i="13"/>
  <c r="M14" i="13"/>
  <c r="I14" i="13"/>
  <c r="M5" i="13"/>
  <c r="I5" i="13"/>
  <c r="M38" i="13"/>
  <c r="I38" i="13"/>
  <c r="M13" i="13"/>
  <c r="I13" i="13"/>
  <c r="M2" i="13"/>
  <c r="I2" i="13"/>
  <c r="M9" i="13"/>
  <c r="I9" i="13"/>
  <c r="M22" i="13"/>
  <c r="I22" i="13"/>
  <c r="M25" i="13"/>
  <c r="I25" i="13"/>
  <c r="M39" i="13"/>
  <c r="I39" i="13"/>
  <c r="M24" i="13"/>
  <c r="I24" i="13"/>
  <c r="M12" i="13"/>
  <c r="I12" i="13"/>
  <c r="M20" i="13"/>
  <c r="I20" i="13"/>
  <c r="M32" i="13"/>
  <c r="I32" i="13"/>
  <c r="M30" i="13"/>
  <c r="I30" i="13"/>
  <c r="M7" i="13"/>
  <c r="I7" i="13"/>
  <c r="M8" i="13"/>
  <c r="I8" i="13"/>
  <c r="M16" i="13"/>
  <c r="I16" i="13"/>
  <c r="M18" i="13"/>
  <c r="I18" i="13"/>
  <c r="M4" i="13"/>
  <c r="I4" i="13"/>
  <c r="M6" i="13"/>
  <c r="I6" i="13"/>
  <c r="M11" i="13"/>
  <c r="I11" i="13"/>
  <c r="L147" i="8"/>
  <c r="L110" i="8"/>
  <c r="L90" i="8"/>
  <c r="L81" i="8"/>
  <c r="L49" i="8"/>
  <c r="L39" i="8"/>
  <c r="K110" i="8"/>
  <c r="L27" i="8"/>
  <c r="J27" i="8"/>
  <c r="L24" i="8"/>
  <c r="J24" i="8"/>
  <c r="G147" i="8"/>
  <c r="G110" i="8"/>
  <c r="G90" i="8"/>
  <c r="G81" i="8"/>
  <c r="G49" i="8"/>
  <c r="G39" i="8"/>
  <c r="G27" i="8"/>
  <c r="M24" i="8"/>
  <c r="I27" i="8"/>
  <c r="I24" i="8"/>
  <c r="G24" i="8"/>
  <c r="K147" i="8"/>
  <c r="Q144" i="8"/>
  <c r="Q143" i="8"/>
  <c r="Q142" i="8"/>
  <c r="Q141" i="8"/>
  <c r="Q140" i="8"/>
  <c r="Q139" i="8"/>
  <c r="Q138" i="8"/>
  <c r="Q137" i="8"/>
  <c r="Q136" i="8"/>
  <c r="Q135" i="8"/>
  <c r="Q134" i="8"/>
  <c r="Q133" i="8"/>
  <c r="Q132" i="8"/>
  <c r="Q131" i="8"/>
  <c r="Q130" i="8"/>
  <c r="Q129" i="8"/>
  <c r="Q128" i="8"/>
  <c r="Q127" i="8"/>
  <c r="Q126" i="8"/>
  <c r="Q125" i="8"/>
  <c r="Q124" i="8"/>
  <c r="Q123" i="8"/>
  <c r="Q122" i="8"/>
  <c r="Q121" i="8"/>
  <c r="Q120" i="8"/>
  <c r="Q119" i="8"/>
  <c r="Q118" i="8"/>
  <c r="Q117" i="8"/>
  <c r="Q116" i="8"/>
  <c r="Q115" i="8"/>
  <c r="Q114" i="8"/>
  <c r="Q113" i="8"/>
  <c r="Q112" i="8"/>
  <c r="Q111" i="8"/>
  <c r="Q109" i="8"/>
  <c r="Q108" i="8"/>
  <c r="Q107" i="8"/>
  <c r="Q106" i="8"/>
  <c r="Q105" i="8"/>
  <c r="Q104" i="8"/>
  <c r="Q103" i="8"/>
  <c r="Q102" i="8"/>
  <c r="Q101" i="8"/>
  <c r="Q100" i="8"/>
  <c r="Q99" i="8"/>
  <c r="Q98" i="8"/>
  <c r="Q97" i="8"/>
  <c r="Q96" i="8"/>
  <c r="Q95" i="8"/>
  <c r="Q94" i="8"/>
  <c r="Q93" i="8"/>
  <c r="Q92" i="8"/>
  <c r="Q91" i="8"/>
  <c r="K90" i="8"/>
  <c r="Q89" i="8"/>
  <c r="Q88" i="8"/>
  <c r="Q87" i="8"/>
  <c r="Q86" i="8"/>
  <c r="Q85" i="8"/>
  <c r="Q84" i="8"/>
  <c r="Q83" i="8"/>
  <c r="Q82" i="8"/>
  <c r="Q79" i="8"/>
  <c r="Q78" i="8"/>
  <c r="Q77" i="8"/>
  <c r="Q76" i="8"/>
  <c r="Q75" i="8"/>
  <c r="Q74" i="8"/>
  <c r="Q73" i="8"/>
  <c r="Q72" i="8"/>
  <c r="Q71" i="8"/>
  <c r="Q70" i="8"/>
  <c r="Q69" i="8"/>
  <c r="Q68" i="8"/>
  <c r="Q67" i="8"/>
  <c r="Q66" i="8"/>
  <c r="Q65" i="8"/>
  <c r="Q64" i="8"/>
  <c r="Q63" i="8"/>
  <c r="Q62" i="8"/>
  <c r="Q61" i="8"/>
  <c r="Q60" i="8"/>
  <c r="Q59" i="8"/>
  <c r="Q58" i="8"/>
  <c r="Q57" i="8"/>
  <c r="Q56" i="8"/>
  <c r="Q55" i="8"/>
  <c r="Q54" i="8"/>
  <c r="Q53" i="8"/>
  <c r="Q52" i="8"/>
  <c r="Q51" i="8"/>
  <c r="Q50" i="8"/>
  <c r="K49" i="8"/>
  <c r="Q48" i="8"/>
  <c r="Q47" i="8"/>
  <c r="Q46" i="8"/>
  <c r="Q45" i="8"/>
  <c r="Q44" i="8"/>
  <c r="Q43" i="8"/>
  <c r="Q42" i="8"/>
  <c r="Q41" i="8"/>
  <c r="Q40" i="8"/>
  <c r="K39" i="8"/>
  <c r="Q38" i="8"/>
  <c r="Q37" i="8"/>
  <c r="Q36" i="8"/>
  <c r="Q35" i="8"/>
  <c r="Q34" i="8"/>
  <c r="Q33" i="8"/>
  <c r="Q32" i="8"/>
  <c r="Q31" i="8"/>
  <c r="Q30" i="8"/>
  <c r="Q29" i="8"/>
  <c r="Q28" i="8"/>
  <c r="K27" i="8"/>
  <c r="K24" i="8"/>
  <c r="K22" i="8"/>
  <c r="K21" i="8"/>
  <c r="K20" i="8"/>
  <c r="K19" i="8"/>
  <c r="K12" i="8"/>
  <c r="K13" i="8"/>
  <c r="K14" i="8"/>
  <c r="K15" i="8"/>
  <c r="K16" i="8"/>
  <c r="K17" i="8"/>
  <c r="K11" i="8"/>
  <c r="K7" i="8"/>
  <c r="K8" i="8"/>
  <c r="K9" i="8"/>
  <c r="K6" i="8"/>
  <c r="Q23" i="8"/>
  <c r="AC147" i="8"/>
  <c r="AD147" i="8"/>
  <c r="AD144" i="8"/>
  <c r="AD143" i="8"/>
  <c r="AD142" i="8"/>
  <c r="AD141" i="8"/>
  <c r="AD140" i="8"/>
  <c r="AD139" i="8"/>
  <c r="AD138" i="8"/>
  <c r="AD137" i="8"/>
  <c r="AD136" i="8"/>
  <c r="AD135" i="8"/>
  <c r="AD134" i="8"/>
  <c r="AD133" i="8"/>
  <c r="AD132" i="8"/>
  <c r="AD131" i="8"/>
  <c r="AD130" i="8"/>
  <c r="AD129" i="8"/>
  <c r="AD128" i="8"/>
  <c r="AD127" i="8"/>
  <c r="AD126" i="8"/>
  <c r="AD125" i="8"/>
  <c r="AD124" i="8"/>
  <c r="AD123" i="8"/>
  <c r="AD122" i="8"/>
  <c r="AD121" i="8"/>
  <c r="AD120" i="8"/>
  <c r="AD119" i="8"/>
  <c r="AD118" i="8"/>
  <c r="AD117" i="8"/>
  <c r="AD116" i="8"/>
  <c r="AD115" i="8"/>
  <c r="AD114" i="8"/>
  <c r="AD113" i="8"/>
  <c r="AD112" i="8"/>
  <c r="AD111" i="8"/>
  <c r="AC110" i="8"/>
  <c r="AD110" i="8"/>
  <c r="AD109" i="8"/>
  <c r="AD108" i="8"/>
  <c r="AD107" i="8"/>
  <c r="AD106" i="8"/>
  <c r="AD105" i="8"/>
  <c r="AD104" i="8"/>
  <c r="AD103" i="8"/>
  <c r="AD102" i="8"/>
  <c r="AD101" i="8"/>
  <c r="AD100" i="8"/>
  <c r="AD99" i="8"/>
  <c r="AD98" i="8"/>
  <c r="AD97" i="8"/>
  <c r="AD96" i="8"/>
  <c r="AD95" i="8"/>
  <c r="AD94" i="8"/>
  <c r="AD93" i="8"/>
  <c r="AD92" i="8"/>
  <c r="AD91" i="8"/>
  <c r="AC90" i="8"/>
  <c r="AD90" i="8"/>
  <c r="AD89" i="8"/>
  <c r="AD88" i="8"/>
  <c r="AD87" i="8"/>
  <c r="AD86" i="8"/>
  <c r="AD85" i="8"/>
  <c r="AD84" i="8"/>
  <c r="AD83" i="8"/>
  <c r="AD82" i="8"/>
  <c r="AC81" i="8"/>
  <c r="AD81" i="8"/>
  <c r="AD79" i="8"/>
  <c r="AD78" i="8"/>
  <c r="AD77" i="8"/>
  <c r="AD76" i="8"/>
  <c r="AD75" i="8"/>
  <c r="AD74" i="8"/>
  <c r="AD73" i="8"/>
  <c r="AD72" i="8"/>
  <c r="AD71" i="8"/>
  <c r="AD70" i="8"/>
  <c r="AD69" i="8"/>
  <c r="AD68" i="8"/>
  <c r="AD67" i="8"/>
  <c r="AD66" i="8"/>
  <c r="AD65" i="8"/>
  <c r="AD64" i="8"/>
  <c r="AD63" i="8"/>
  <c r="AD62" i="8"/>
  <c r="AD61" i="8"/>
  <c r="AD60" i="8"/>
  <c r="AD59" i="8"/>
  <c r="AD58" i="8"/>
  <c r="AD57" i="8"/>
  <c r="AD56" i="8"/>
  <c r="AD55" i="8"/>
  <c r="AD54" i="8"/>
  <c r="AD53" i="8"/>
  <c r="AD52" i="8"/>
  <c r="AD51" i="8"/>
  <c r="AD50" i="8"/>
  <c r="AC49" i="8"/>
  <c r="AD49" i="8"/>
  <c r="AD48" i="8"/>
  <c r="AD47" i="8"/>
  <c r="AD46" i="8"/>
  <c r="AD45" i="8"/>
  <c r="AD44" i="8"/>
  <c r="AD43" i="8"/>
  <c r="AD42" i="8"/>
  <c r="AD41" i="8"/>
  <c r="AD40" i="8"/>
  <c r="AC39" i="8"/>
  <c r="AD39" i="8"/>
  <c r="AD38" i="8"/>
  <c r="AD37" i="8"/>
  <c r="AD36" i="8"/>
  <c r="AD35" i="8"/>
  <c r="AD34" i="8"/>
  <c r="AD33" i="8"/>
  <c r="AD32" i="8"/>
  <c r="AD31" i="8"/>
  <c r="AD30" i="8"/>
  <c r="AD29" i="8"/>
  <c r="AD28" i="8"/>
  <c r="AC27" i="8"/>
  <c r="AD27" i="8"/>
  <c r="AC24" i="8"/>
  <c r="AD24" i="8"/>
  <c r="AC22" i="8"/>
  <c r="AD22" i="8"/>
  <c r="AC21" i="8"/>
  <c r="AD21" i="8"/>
  <c r="AF20" i="8"/>
  <c r="AC20" i="8"/>
  <c r="AD20" i="8"/>
  <c r="Z19" i="8"/>
  <c r="AA19" i="8"/>
  <c r="AF19" i="8"/>
  <c r="AG19" i="8"/>
  <c r="AC19" i="8"/>
  <c r="AD19" i="8"/>
  <c r="AC17" i="8"/>
  <c r="AD17" i="8"/>
  <c r="AC16" i="8"/>
  <c r="AD16" i="8"/>
  <c r="AC15" i="8"/>
  <c r="AD15" i="8"/>
  <c r="AC14" i="8"/>
  <c r="AD14" i="8"/>
  <c r="AC13" i="8"/>
  <c r="AD13" i="8"/>
  <c r="AC12" i="8"/>
  <c r="AD12" i="8"/>
  <c r="AC11" i="8"/>
  <c r="AD11" i="8"/>
  <c r="AC9" i="8"/>
  <c r="AD9" i="8"/>
  <c r="AC8" i="8"/>
  <c r="AD8" i="8"/>
  <c r="AF7" i="8"/>
  <c r="AC7" i="8"/>
  <c r="AD7" i="8"/>
  <c r="Z6" i="8"/>
  <c r="AA6" i="8"/>
  <c r="AF6" i="8"/>
  <c r="AG6" i="8"/>
  <c r="AC6" i="8"/>
  <c r="AD6" i="8"/>
  <c r="W147" i="8"/>
  <c r="X147" i="8"/>
  <c r="X144" i="8"/>
  <c r="X143" i="8"/>
  <c r="X142" i="8"/>
  <c r="X141" i="8"/>
  <c r="X140" i="8"/>
  <c r="X139" i="8"/>
  <c r="X138" i="8"/>
  <c r="X137" i="8"/>
  <c r="X136" i="8"/>
  <c r="X135" i="8"/>
  <c r="X134" i="8"/>
  <c r="X133" i="8"/>
  <c r="X132" i="8"/>
  <c r="X131" i="8"/>
  <c r="X130" i="8"/>
  <c r="X129" i="8"/>
  <c r="X128" i="8"/>
  <c r="X127" i="8"/>
  <c r="X126" i="8"/>
  <c r="X125" i="8"/>
  <c r="X124" i="8"/>
  <c r="X123" i="8"/>
  <c r="X122" i="8"/>
  <c r="X121" i="8"/>
  <c r="X120" i="8"/>
  <c r="X119" i="8"/>
  <c r="X118" i="8"/>
  <c r="X117" i="8"/>
  <c r="X116" i="8"/>
  <c r="X115" i="8"/>
  <c r="X114" i="8"/>
  <c r="X113" i="8"/>
  <c r="X112" i="8"/>
  <c r="X111" i="8"/>
  <c r="W110" i="8"/>
  <c r="X110" i="8"/>
  <c r="X109" i="8"/>
  <c r="X108" i="8"/>
  <c r="X107" i="8"/>
  <c r="X106" i="8"/>
  <c r="X105" i="8"/>
  <c r="X104" i="8"/>
  <c r="X103" i="8"/>
  <c r="X102" i="8"/>
  <c r="X101" i="8"/>
  <c r="X100" i="8"/>
  <c r="X99" i="8"/>
  <c r="X98" i="8"/>
  <c r="X97" i="8"/>
  <c r="X96" i="8"/>
  <c r="X95" i="8"/>
  <c r="X94" i="8"/>
  <c r="X93" i="8"/>
  <c r="X92" i="8"/>
  <c r="X91" i="8"/>
  <c r="W90" i="8"/>
  <c r="X90" i="8"/>
  <c r="X89" i="8"/>
  <c r="X88" i="8"/>
  <c r="X87" i="8"/>
  <c r="X86" i="8"/>
  <c r="X85" i="8"/>
  <c r="X84" i="8"/>
  <c r="X83" i="8"/>
  <c r="X82" i="8"/>
  <c r="W81" i="8"/>
  <c r="X81" i="8"/>
  <c r="X79" i="8"/>
  <c r="X78" i="8"/>
  <c r="X77" i="8"/>
  <c r="X76" i="8"/>
  <c r="X75" i="8"/>
  <c r="X74" i="8"/>
  <c r="X73" i="8"/>
  <c r="X72" i="8"/>
  <c r="X71" i="8"/>
  <c r="X70" i="8"/>
  <c r="X69" i="8"/>
  <c r="X68" i="8"/>
  <c r="X67" i="8"/>
  <c r="X66" i="8"/>
  <c r="X65" i="8"/>
  <c r="X64" i="8"/>
  <c r="X63" i="8"/>
  <c r="X62" i="8"/>
  <c r="X61" i="8"/>
  <c r="X60" i="8"/>
  <c r="X59" i="8"/>
  <c r="X58" i="8"/>
  <c r="X57" i="8"/>
  <c r="X56" i="8"/>
  <c r="X55" i="8"/>
  <c r="X54" i="8"/>
  <c r="X53" i="8"/>
  <c r="X52" i="8"/>
  <c r="X51" i="8"/>
  <c r="X50" i="8"/>
  <c r="W49" i="8"/>
  <c r="X49" i="8"/>
  <c r="X48" i="8"/>
  <c r="X47" i="8"/>
  <c r="X46" i="8"/>
  <c r="X45" i="8"/>
  <c r="X44" i="8"/>
  <c r="X43" i="8"/>
  <c r="X42" i="8"/>
  <c r="X41" i="8"/>
  <c r="X40" i="8"/>
  <c r="W39" i="8"/>
  <c r="X39" i="8"/>
  <c r="X38" i="8"/>
  <c r="X37" i="8"/>
  <c r="X36" i="8"/>
  <c r="X35" i="8"/>
  <c r="X34" i="8"/>
  <c r="X33" i="8"/>
  <c r="X32" i="8"/>
  <c r="X31" i="8"/>
  <c r="X30" i="8"/>
  <c r="X29" i="8"/>
  <c r="X28" i="8"/>
  <c r="W27" i="8"/>
  <c r="X27" i="8"/>
  <c r="W24" i="8"/>
  <c r="X24" i="8"/>
  <c r="W22" i="8"/>
  <c r="X22" i="8"/>
  <c r="W21" i="8"/>
  <c r="X21" i="8"/>
  <c r="Z20" i="8"/>
  <c r="W20" i="8"/>
  <c r="X20" i="8"/>
  <c r="W19" i="8"/>
  <c r="X19" i="8"/>
  <c r="W17" i="8"/>
  <c r="X17" i="8"/>
  <c r="W16" i="8"/>
  <c r="X16" i="8"/>
  <c r="W15" i="8"/>
  <c r="X15" i="8"/>
  <c r="W14" i="8"/>
  <c r="X14" i="8"/>
  <c r="W13" i="8"/>
  <c r="X13" i="8"/>
  <c r="W12" i="8"/>
  <c r="X12" i="8"/>
  <c r="W11" i="8"/>
  <c r="X11" i="8"/>
  <c r="W9" i="8"/>
  <c r="X9" i="8"/>
  <c r="W8" i="8"/>
  <c r="X8" i="8"/>
  <c r="Z7" i="8"/>
  <c r="W7" i="8"/>
  <c r="X7" i="8"/>
  <c r="W6" i="8"/>
  <c r="X6" i="8"/>
  <c r="L68" i="10"/>
  <c r="J4" i="10"/>
  <c r="J5" i="10"/>
  <c r="J6" i="10"/>
  <c r="J7" i="10"/>
  <c r="J8" i="10"/>
  <c r="J9" i="10"/>
  <c r="J10" i="10"/>
  <c r="J11" i="10"/>
  <c r="J12" i="10"/>
  <c r="J13" i="10"/>
  <c r="J14" i="10"/>
  <c r="J15" i="10"/>
  <c r="J16" i="10"/>
  <c r="J17" i="10"/>
  <c r="J18" i="10"/>
  <c r="J19" i="10"/>
  <c r="J20" i="10"/>
  <c r="J21" i="10"/>
  <c r="J22" i="10"/>
  <c r="J23" i="10"/>
  <c r="J24" i="10"/>
  <c r="J25" i="10"/>
  <c r="J26" i="10"/>
  <c r="J27" i="10"/>
  <c r="J28" i="10"/>
  <c r="J29" i="10"/>
  <c r="J30" i="10"/>
  <c r="J31" i="10"/>
  <c r="J32" i="10"/>
  <c r="J33" i="10"/>
  <c r="J34" i="10"/>
  <c r="J35" i="10"/>
  <c r="J36" i="10"/>
  <c r="J37" i="10"/>
  <c r="J38" i="10"/>
  <c r="J39" i="10"/>
  <c r="J40" i="10"/>
  <c r="J41" i="10"/>
  <c r="J42" i="10"/>
  <c r="J43" i="10"/>
  <c r="J44" i="10"/>
  <c r="J45" i="10"/>
  <c r="J46" i="10"/>
  <c r="J47" i="10"/>
  <c r="J48" i="10"/>
  <c r="J49" i="10"/>
  <c r="J50" i="10"/>
  <c r="J51" i="10"/>
  <c r="J52" i="10"/>
  <c r="J53" i="10"/>
  <c r="J54" i="10"/>
  <c r="J55" i="10"/>
  <c r="J56" i="10"/>
  <c r="J57" i="10"/>
  <c r="J58" i="10"/>
  <c r="J59" i="10"/>
  <c r="J60" i="10"/>
  <c r="K35" i="11"/>
  <c r="I13" i="10"/>
  <c r="I5" i="10"/>
  <c r="I3" i="10"/>
  <c r="I4" i="10"/>
  <c r="I27" i="10"/>
  <c r="I9" i="10"/>
  <c r="I7" i="10"/>
  <c r="I6" i="10"/>
  <c r="I28" i="10"/>
  <c r="I21" i="10"/>
  <c r="I15" i="10"/>
  <c r="I25" i="10"/>
  <c r="I41" i="10"/>
  <c r="I23" i="10"/>
  <c r="I19" i="10"/>
  <c r="I17" i="10"/>
  <c r="I46" i="10"/>
  <c r="I10" i="10"/>
  <c r="I36" i="10"/>
  <c r="I11" i="10"/>
  <c r="I45" i="10"/>
  <c r="I33" i="10"/>
  <c r="I29" i="10"/>
  <c r="I24" i="10"/>
  <c r="I31" i="10"/>
  <c r="I22" i="10"/>
  <c r="I39" i="10"/>
  <c r="I12" i="10"/>
  <c r="I16" i="10"/>
  <c r="I47" i="10"/>
  <c r="I20" i="10"/>
  <c r="I37" i="10"/>
  <c r="I30" i="10"/>
  <c r="I55" i="10"/>
  <c r="I14" i="10"/>
  <c r="I44" i="10"/>
  <c r="I38" i="10"/>
  <c r="I53" i="10"/>
  <c r="I43" i="10"/>
  <c r="I18" i="10"/>
  <c r="I40" i="10"/>
  <c r="I42" i="10"/>
  <c r="I26" i="10"/>
  <c r="I49" i="10"/>
  <c r="I35" i="10"/>
  <c r="I32" i="10"/>
  <c r="I50" i="10"/>
  <c r="I51" i="10"/>
  <c r="I34" i="10"/>
  <c r="I52" i="10"/>
  <c r="I48" i="10"/>
  <c r="I54" i="10"/>
  <c r="I58" i="10"/>
  <c r="I56" i="10"/>
  <c r="I57" i="10"/>
  <c r="I59" i="10"/>
  <c r="I60" i="10"/>
  <c r="I8" i="10"/>
  <c r="G62" i="10"/>
  <c r="I4" i="11"/>
  <c r="I5" i="11"/>
  <c r="I6" i="11"/>
  <c r="I7" i="11"/>
  <c r="I8" i="11"/>
  <c r="I9" i="11"/>
  <c r="I10" i="11"/>
  <c r="I11" i="11"/>
  <c r="I12" i="11"/>
  <c r="I13" i="11"/>
  <c r="I14" i="11"/>
  <c r="I15" i="11"/>
  <c r="I16" i="11"/>
  <c r="I17" i="11"/>
  <c r="I18" i="11"/>
  <c r="I19" i="11"/>
  <c r="I20" i="11"/>
  <c r="I21" i="11"/>
  <c r="I22" i="11"/>
  <c r="I23" i="11"/>
  <c r="I24" i="11"/>
  <c r="I25" i="11"/>
  <c r="I26" i="11"/>
  <c r="I27" i="11"/>
  <c r="I28" i="11"/>
  <c r="I29" i="11"/>
  <c r="I30" i="11"/>
  <c r="I31" i="11"/>
  <c r="I32" i="11"/>
  <c r="I33" i="11"/>
  <c r="I34" i="11"/>
  <c r="I35" i="11"/>
  <c r="I36" i="11"/>
  <c r="I37" i="11"/>
  <c r="I38" i="11"/>
  <c r="I39" i="11"/>
  <c r="I40" i="11"/>
  <c r="I41" i="11"/>
  <c r="I42" i="11"/>
  <c r="I43" i="11"/>
  <c r="I44" i="11"/>
  <c r="I45" i="11"/>
  <c r="I46" i="11"/>
  <c r="I47" i="11"/>
  <c r="I48" i="11"/>
  <c r="I49" i="11"/>
  <c r="I50" i="11"/>
  <c r="I51" i="11"/>
  <c r="I52" i="11"/>
  <c r="I53" i="11"/>
  <c r="I54" i="11"/>
  <c r="I55" i="11"/>
  <c r="I56" i="11"/>
  <c r="I57" i="11"/>
  <c r="I58" i="11"/>
  <c r="I59" i="11"/>
  <c r="I60" i="11"/>
  <c r="I61" i="11"/>
  <c r="I3" i="11"/>
  <c r="G63" i="11"/>
  <c r="H5" i="11"/>
  <c r="E63" i="11"/>
  <c r="F6" i="11"/>
  <c r="D6" i="4"/>
  <c r="E6" i="4"/>
  <c r="AS27" i="1"/>
  <c r="AS26" i="1"/>
  <c r="AS25" i="1"/>
  <c r="AS24" i="1"/>
  <c r="AS23" i="1"/>
  <c r="AS22" i="1"/>
  <c r="AS21" i="1"/>
  <c r="AS20" i="1"/>
  <c r="AS19" i="1"/>
  <c r="AS18" i="1"/>
  <c r="AS17" i="1"/>
  <c r="AS16" i="1"/>
  <c r="AS15" i="1"/>
  <c r="AS14" i="1"/>
  <c r="AJ27" i="1"/>
  <c r="AJ26" i="1"/>
  <c r="AJ25" i="1"/>
  <c r="AJ24" i="1"/>
  <c r="AJ23" i="1"/>
  <c r="AJ22" i="1"/>
  <c r="AJ21" i="1"/>
  <c r="AJ20" i="1"/>
  <c r="AJ16" i="1"/>
  <c r="AJ15" i="1"/>
  <c r="AJ14" i="1"/>
  <c r="AJ18" i="1"/>
  <c r="AJ17" i="1"/>
  <c r="AJ19" i="1"/>
  <c r="AX3" i="1"/>
  <c r="N80" i="1"/>
  <c r="N83" i="1"/>
  <c r="D89" i="1"/>
  <c r="C89" i="1"/>
  <c r="N81" i="1"/>
  <c r="L80" i="1"/>
  <c r="D93" i="1"/>
  <c r="C93" i="1"/>
  <c r="D92" i="1"/>
  <c r="C92" i="1"/>
  <c r="D91" i="1"/>
  <c r="C91" i="1"/>
  <c r="D90" i="1"/>
  <c r="C90" i="1"/>
  <c r="D88" i="1"/>
  <c r="C88" i="1"/>
  <c r="D87" i="1"/>
  <c r="C87" i="1"/>
  <c r="D86" i="1"/>
  <c r="C86" i="1"/>
  <c r="K83" i="1"/>
  <c r="K82" i="1"/>
  <c r="K81" i="1"/>
  <c r="K80" i="1"/>
  <c r="D85" i="1"/>
  <c r="C85" i="1"/>
  <c r="D84" i="1"/>
  <c r="C84" i="1"/>
  <c r="D83" i="1"/>
  <c r="C83" i="1"/>
  <c r="D82" i="1"/>
  <c r="C82" i="1"/>
  <c r="D81" i="1"/>
  <c r="D80" i="1"/>
  <c r="C81" i="1"/>
  <c r="L81" i="1"/>
  <c r="C80" i="1"/>
  <c r="H40" i="11"/>
  <c r="H8" i="11"/>
  <c r="H56" i="11"/>
  <c r="H24" i="11"/>
  <c r="H52" i="11"/>
  <c r="H36" i="11"/>
  <c r="H20" i="11"/>
  <c r="H4" i="11"/>
  <c r="H48" i="11"/>
  <c r="H32" i="11"/>
  <c r="H16" i="11"/>
  <c r="H60" i="11"/>
  <c r="H44" i="11"/>
  <c r="H28" i="11"/>
  <c r="H12" i="11"/>
  <c r="H59" i="11"/>
  <c r="H55" i="11"/>
  <c r="H51" i="11"/>
  <c r="H47" i="11"/>
  <c r="H43" i="11"/>
  <c r="H39" i="11"/>
  <c r="H35" i="11"/>
  <c r="H31" i="11"/>
  <c r="H27" i="11"/>
  <c r="H23" i="11"/>
  <c r="H19" i="11"/>
  <c r="H15" i="11"/>
  <c r="H11" i="11"/>
  <c r="H7" i="11"/>
  <c r="H3" i="11"/>
  <c r="H58" i="11"/>
  <c r="H54" i="11"/>
  <c r="H50" i="11"/>
  <c r="H46" i="11"/>
  <c r="H42" i="11"/>
  <c r="H38" i="11"/>
  <c r="H34" i="11"/>
  <c r="H30" i="11"/>
  <c r="H26" i="11"/>
  <c r="H22" i="11"/>
  <c r="H18" i="11"/>
  <c r="H14" i="11"/>
  <c r="H10" i="11"/>
  <c r="H6" i="11"/>
  <c r="J6" i="11"/>
  <c r="H61" i="11"/>
  <c r="H57" i="11"/>
  <c r="H53" i="11"/>
  <c r="H49" i="11"/>
  <c r="H45" i="11"/>
  <c r="H41" i="11"/>
  <c r="H37" i="11"/>
  <c r="H33" i="11"/>
  <c r="H29" i="11"/>
  <c r="H25" i="11"/>
  <c r="H21" i="11"/>
  <c r="H17" i="11"/>
  <c r="H13" i="11"/>
  <c r="H9" i="11"/>
  <c r="F61" i="11"/>
  <c r="F49" i="11"/>
  <c r="J49" i="11"/>
  <c r="F37" i="11"/>
  <c r="F25" i="11"/>
  <c r="J25" i="11"/>
  <c r="F5" i="11"/>
  <c r="J5" i="11"/>
  <c r="F60" i="11"/>
  <c r="J60" i="11"/>
  <c r="F56" i="11"/>
  <c r="F52" i="11"/>
  <c r="J52" i="11"/>
  <c r="F48" i="11"/>
  <c r="F44" i="11"/>
  <c r="J44" i="11"/>
  <c r="F40" i="11"/>
  <c r="J40" i="11"/>
  <c r="F36" i="11"/>
  <c r="J36" i="11"/>
  <c r="F32" i="11"/>
  <c r="F28" i="11"/>
  <c r="J28" i="11"/>
  <c r="F24" i="11"/>
  <c r="F20" i="11"/>
  <c r="F16" i="11"/>
  <c r="J16" i="11"/>
  <c r="F12" i="11"/>
  <c r="J12" i="11"/>
  <c r="F8" i="11"/>
  <c r="F4" i="11"/>
  <c r="F53" i="11"/>
  <c r="F41" i="11"/>
  <c r="F29" i="11"/>
  <c r="J29" i="11"/>
  <c r="F17" i="11"/>
  <c r="F9" i="11"/>
  <c r="F59" i="11"/>
  <c r="J59" i="11"/>
  <c r="F55" i="11"/>
  <c r="J55" i="11"/>
  <c r="F51" i="11"/>
  <c r="J51" i="11"/>
  <c r="F47" i="11"/>
  <c r="F43" i="11"/>
  <c r="J43" i="11"/>
  <c r="F39" i="11"/>
  <c r="J39" i="11"/>
  <c r="F35" i="11"/>
  <c r="J35" i="11"/>
  <c r="F31" i="11"/>
  <c r="J31" i="11"/>
  <c r="F27" i="11"/>
  <c r="J27" i="11"/>
  <c r="F23" i="11"/>
  <c r="J23" i="11"/>
  <c r="F19" i="11"/>
  <c r="J19" i="11"/>
  <c r="F15" i="11"/>
  <c r="J15" i="11"/>
  <c r="F11" i="11"/>
  <c r="J11" i="11"/>
  <c r="F7" i="11"/>
  <c r="J7" i="11"/>
  <c r="F57" i="11"/>
  <c r="J57" i="11"/>
  <c r="F45" i="11"/>
  <c r="F33" i="11"/>
  <c r="F21" i="11"/>
  <c r="F13" i="11"/>
  <c r="J13" i="11"/>
  <c r="F3" i="11"/>
  <c r="F58" i="11"/>
  <c r="F54" i="11"/>
  <c r="F50" i="11"/>
  <c r="J50" i="11"/>
  <c r="F46" i="11"/>
  <c r="F42" i="11"/>
  <c r="J42" i="11"/>
  <c r="F38" i="11"/>
  <c r="F34" i="11"/>
  <c r="F30" i="11"/>
  <c r="F26" i="11"/>
  <c r="J26" i="11"/>
  <c r="F22" i="11"/>
  <c r="F18" i="11"/>
  <c r="J18" i="11"/>
  <c r="F14" i="11"/>
  <c r="F10" i="11"/>
  <c r="J10" i="11"/>
  <c r="N82" i="1"/>
  <c r="O82" i="1"/>
  <c r="L82" i="1"/>
  <c r="L83" i="1"/>
  <c r="M80" i="1"/>
  <c r="O80" i="1"/>
  <c r="O81" i="1"/>
  <c r="O83" i="1"/>
  <c r="AP31" i="1"/>
  <c r="AP30" i="1"/>
  <c r="AP29" i="1"/>
  <c r="AP28" i="1"/>
  <c r="AM31" i="1"/>
  <c r="AM30" i="1"/>
  <c r="AM29" i="1"/>
  <c r="AM28" i="1"/>
  <c r="AP72" i="1"/>
  <c r="AP71" i="1"/>
  <c r="AP70" i="1"/>
  <c r="AP69" i="1"/>
  <c r="AP68" i="1"/>
  <c r="AP67" i="1"/>
  <c r="AP66" i="1"/>
  <c r="AP65" i="1"/>
  <c r="AP64" i="1"/>
  <c r="AP63" i="1"/>
  <c r="AP62" i="1"/>
  <c r="AP61" i="1"/>
  <c r="AP60" i="1"/>
  <c r="AP59" i="1"/>
  <c r="AP58" i="1"/>
  <c r="AP57" i="1"/>
  <c r="AP56" i="1"/>
  <c r="AP55" i="1"/>
  <c r="AP54" i="1"/>
  <c r="AP53" i="1"/>
  <c r="AP52" i="1"/>
  <c r="AP51" i="1"/>
  <c r="AP50" i="1"/>
  <c r="AP49" i="1"/>
  <c r="AP48" i="1"/>
  <c r="AP47" i="1"/>
  <c r="AP46" i="1"/>
  <c r="AP45" i="1"/>
  <c r="AP44" i="1"/>
  <c r="AP43" i="1"/>
  <c r="AP42" i="1"/>
  <c r="AP41" i="1"/>
  <c r="AP40" i="1"/>
  <c r="AP39" i="1"/>
  <c r="AP38" i="1"/>
  <c r="AP37" i="1"/>
  <c r="AP36" i="1"/>
  <c r="AP35" i="1"/>
  <c r="AP34" i="1"/>
  <c r="AP33" i="1"/>
  <c r="AP32" i="1"/>
  <c r="AM72" i="1"/>
  <c r="AM71" i="1"/>
  <c r="AM70" i="1"/>
  <c r="AM69" i="1"/>
  <c r="AM68" i="1"/>
  <c r="AM67" i="1"/>
  <c r="AM66" i="1"/>
  <c r="AM65" i="1"/>
  <c r="AM64" i="1"/>
  <c r="AM63" i="1"/>
  <c r="AM62" i="1"/>
  <c r="AM61" i="1"/>
  <c r="AM60" i="1"/>
  <c r="AM59" i="1"/>
  <c r="AM58" i="1"/>
  <c r="AM57" i="1"/>
  <c r="AM56" i="1"/>
  <c r="AM55" i="1"/>
  <c r="AM54" i="1"/>
  <c r="AM53" i="1"/>
  <c r="AM52" i="1"/>
  <c r="AM51" i="1"/>
  <c r="AM50" i="1"/>
  <c r="AM49" i="1"/>
  <c r="AM48" i="1"/>
  <c r="AM47" i="1"/>
  <c r="AM46" i="1"/>
  <c r="AM45" i="1"/>
  <c r="AM44" i="1"/>
  <c r="AM43" i="1"/>
  <c r="AM42" i="1"/>
  <c r="AM41" i="1"/>
  <c r="AM40" i="1"/>
  <c r="AM39" i="1"/>
  <c r="AM38" i="1"/>
  <c r="AM37" i="1"/>
  <c r="AM36" i="1"/>
  <c r="AM35" i="1"/>
  <c r="AM34" i="1"/>
  <c r="AM33" i="1"/>
  <c r="AM32" i="1"/>
  <c r="M66" i="10"/>
  <c r="J45" i="11"/>
  <c r="J8" i="11"/>
  <c r="M43" i="10"/>
  <c r="J20" i="11"/>
  <c r="J21" i="11"/>
  <c r="J48" i="11"/>
  <c r="M55" i="10"/>
  <c r="M53" i="10"/>
  <c r="M22" i="10"/>
  <c r="J24" i="11"/>
  <c r="M31" i="10"/>
  <c r="J17" i="11"/>
  <c r="J4" i="11"/>
  <c r="J22" i="11"/>
  <c r="J38" i="11"/>
  <c r="J37" i="11"/>
  <c r="J41" i="11"/>
  <c r="J14" i="11"/>
  <c r="J30" i="11"/>
  <c r="J46" i="11"/>
  <c r="J3" i="11"/>
  <c r="J9" i="11"/>
  <c r="M49" i="10"/>
  <c r="M52" i="10"/>
  <c r="J58" i="11"/>
  <c r="J33" i="11"/>
  <c r="J56" i="11"/>
  <c r="J54" i="11"/>
  <c r="M23" i="10"/>
  <c r="J34" i="11"/>
  <c r="M58" i="10"/>
  <c r="J47" i="11"/>
  <c r="M13" i="10"/>
  <c r="M41" i="10"/>
  <c r="J53" i="11"/>
  <c r="M44" i="10"/>
  <c r="J32" i="11"/>
  <c r="J61" i="11"/>
  <c r="M81" i="1"/>
  <c r="M83" i="1"/>
  <c r="M82" i="1"/>
  <c r="AU15" i="1"/>
  <c r="T15" i="1"/>
  <c r="AV15" i="1"/>
  <c r="U15" i="1"/>
  <c r="AA15" i="1"/>
  <c r="AG15" i="1"/>
  <c r="AW15" i="1"/>
  <c r="AU16" i="1"/>
  <c r="E16" i="1"/>
  <c r="H16" i="1"/>
  <c r="N16" i="1"/>
  <c r="T16" i="1"/>
  <c r="AV16" i="1"/>
  <c r="E8" i="4"/>
  <c r="F16" i="1"/>
  <c r="I16" i="1"/>
  <c r="L16" i="1"/>
  <c r="O16" i="1"/>
  <c r="U16" i="1"/>
  <c r="AA16" i="1"/>
  <c r="AG16" i="1"/>
  <c r="AW16" i="1"/>
  <c r="AU17" i="1"/>
  <c r="E17" i="1"/>
  <c r="H17" i="1"/>
  <c r="K17" i="1"/>
  <c r="N17" i="1"/>
  <c r="T17" i="1"/>
  <c r="AV17" i="1"/>
  <c r="F17" i="1"/>
  <c r="I17" i="1"/>
  <c r="L17" i="1"/>
  <c r="O17" i="1"/>
  <c r="U17" i="1"/>
  <c r="AA17" i="1"/>
  <c r="AG17" i="1"/>
  <c r="AW17" i="1"/>
  <c r="AU18" i="1"/>
  <c r="E18" i="1"/>
  <c r="T18" i="1"/>
  <c r="AV18" i="1"/>
  <c r="E9" i="4"/>
  <c r="L18" i="1"/>
  <c r="O18" i="1"/>
  <c r="U18" i="1"/>
  <c r="AA18" i="1"/>
  <c r="AG18" i="1"/>
  <c r="AW18" i="1"/>
  <c r="AU19" i="1"/>
  <c r="E19" i="1"/>
  <c r="H19" i="1"/>
  <c r="K19" i="1"/>
  <c r="N19" i="1"/>
  <c r="T19" i="1"/>
  <c r="AV19" i="1"/>
  <c r="L19" i="1"/>
  <c r="O19" i="1"/>
  <c r="U19" i="1"/>
  <c r="AA19" i="1"/>
  <c r="AG19" i="1"/>
  <c r="AW19" i="1"/>
  <c r="AU20" i="1"/>
  <c r="E20" i="1"/>
  <c r="H20" i="1"/>
  <c r="K20" i="1"/>
  <c r="N20" i="1"/>
  <c r="T20" i="1"/>
  <c r="W20" i="1"/>
  <c r="AV20" i="1"/>
  <c r="D7" i="4"/>
  <c r="E7" i="4"/>
  <c r="F20" i="1"/>
  <c r="I20" i="1"/>
  <c r="L20" i="1"/>
  <c r="O20" i="1"/>
  <c r="U20" i="1"/>
  <c r="X20" i="1"/>
  <c r="AA20" i="1"/>
  <c r="AD20" i="1"/>
  <c r="AG20" i="1"/>
  <c r="AW20" i="1"/>
  <c r="AU21" i="1"/>
  <c r="T21" i="1"/>
  <c r="W21" i="1"/>
  <c r="AV21" i="1"/>
  <c r="O21" i="1"/>
  <c r="U21" i="1"/>
  <c r="X21" i="1"/>
  <c r="AA21" i="1"/>
  <c r="AD21" i="1"/>
  <c r="AG21" i="1"/>
  <c r="AW21" i="1"/>
  <c r="AU22" i="1"/>
  <c r="T22" i="1"/>
  <c r="W22" i="1"/>
  <c r="AV22" i="1"/>
  <c r="O22" i="1"/>
  <c r="U22" i="1"/>
  <c r="X22" i="1"/>
  <c r="AA22" i="1"/>
  <c r="AD22" i="1"/>
  <c r="AG22" i="1"/>
  <c r="AW22" i="1"/>
  <c r="AU23" i="1"/>
  <c r="H23" i="1"/>
  <c r="K23" i="1"/>
  <c r="N23" i="1"/>
  <c r="W23" i="1"/>
  <c r="AV23" i="1"/>
  <c r="D4" i="4"/>
  <c r="E4" i="4"/>
  <c r="L23" i="1"/>
  <c r="O23" i="1"/>
  <c r="U23" i="1"/>
  <c r="X23" i="1"/>
  <c r="AA23" i="1"/>
  <c r="AD23" i="1"/>
  <c r="AG23" i="1"/>
  <c r="AW23" i="1"/>
  <c r="AU24" i="1"/>
  <c r="E24" i="1"/>
  <c r="H24" i="1"/>
  <c r="K24" i="1"/>
  <c r="N24" i="1"/>
  <c r="W24" i="1"/>
  <c r="AV24" i="1"/>
  <c r="D5" i="4"/>
  <c r="E5" i="4"/>
  <c r="F24" i="1"/>
  <c r="I24" i="1"/>
  <c r="L24" i="1"/>
  <c r="U24" i="1"/>
  <c r="X24" i="1"/>
  <c r="AA24" i="1"/>
  <c r="AD24" i="1"/>
  <c r="AG24" i="1"/>
  <c r="AW24" i="1"/>
  <c r="AU25" i="1"/>
  <c r="E25" i="1"/>
  <c r="H25" i="1"/>
  <c r="K25" i="1"/>
  <c r="N25" i="1"/>
  <c r="W25" i="1"/>
  <c r="AV25" i="1"/>
  <c r="F25" i="1"/>
  <c r="I25" i="1"/>
  <c r="L25" i="1"/>
  <c r="O25" i="1"/>
  <c r="U25" i="1"/>
  <c r="X25" i="1"/>
  <c r="AA25" i="1"/>
  <c r="AD25" i="1"/>
  <c r="AG25" i="1"/>
  <c r="AW25" i="1"/>
  <c r="AU26" i="1"/>
  <c r="E26" i="1"/>
  <c r="H26" i="1"/>
  <c r="K26" i="1"/>
  <c r="N26" i="1"/>
  <c r="T26" i="1"/>
  <c r="W26" i="1"/>
  <c r="AV26" i="1"/>
  <c r="F26" i="1"/>
  <c r="I26" i="1"/>
  <c r="L26" i="1"/>
  <c r="O26" i="1"/>
  <c r="U26" i="1"/>
  <c r="X26" i="1"/>
  <c r="AA26" i="1"/>
  <c r="AD26" i="1"/>
  <c r="AG26" i="1"/>
  <c r="AW26" i="1"/>
  <c r="AU27" i="1"/>
  <c r="E27" i="1"/>
  <c r="H27" i="1"/>
  <c r="K27" i="1"/>
  <c r="N27" i="1"/>
  <c r="W27" i="1"/>
  <c r="AV27" i="1"/>
  <c r="F27" i="1"/>
  <c r="I27" i="1"/>
  <c r="L27" i="1"/>
  <c r="O27" i="1"/>
  <c r="U27" i="1"/>
  <c r="X27" i="1"/>
  <c r="AA27" i="1"/>
  <c r="AD27" i="1"/>
  <c r="AG27" i="1"/>
  <c r="AW27" i="1"/>
  <c r="AU28" i="1"/>
  <c r="Q28" i="1"/>
  <c r="T28" i="1"/>
  <c r="AV28" i="1"/>
  <c r="L28" i="1"/>
  <c r="R28" i="1"/>
  <c r="U28" i="1"/>
  <c r="AA28" i="1"/>
  <c r="AG28" i="1"/>
  <c r="AW28" i="1"/>
  <c r="AU29" i="1"/>
  <c r="K29" i="1"/>
  <c r="N29" i="1"/>
  <c r="Q29" i="1"/>
  <c r="T29" i="1"/>
  <c r="AV29" i="1"/>
  <c r="L29" i="1"/>
  <c r="O29" i="1"/>
  <c r="R29" i="1"/>
  <c r="U29" i="1"/>
  <c r="AA29" i="1"/>
  <c r="AG29" i="1"/>
  <c r="AW29" i="1"/>
  <c r="AU30" i="1"/>
  <c r="K30" i="1"/>
  <c r="N30" i="1"/>
  <c r="Q30" i="1"/>
  <c r="T30" i="1"/>
  <c r="AV30" i="1"/>
  <c r="L30" i="1"/>
  <c r="O30" i="1"/>
  <c r="R30" i="1"/>
  <c r="U30" i="1"/>
  <c r="AA30" i="1"/>
  <c r="AG30" i="1"/>
  <c r="AW30" i="1"/>
  <c r="AU31" i="1"/>
  <c r="K31" i="1"/>
  <c r="N31" i="1"/>
  <c r="Q31" i="1"/>
  <c r="T31" i="1"/>
  <c r="AV31" i="1"/>
  <c r="L31" i="1"/>
  <c r="O31" i="1"/>
  <c r="R31" i="1"/>
  <c r="U31" i="1"/>
  <c r="AA31" i="1"/>
  <c r="AG31" i="1"/>
  <c r="AW31" i="1"/>
  <c r="AU32" i="1"/>
  <c r="K32" i="1"/>
  <c r="N32" i="1"/>
  <c r="Q32" i="1"/>
  <c r="T32" i="1"/>
  <c r="AV32" i="1"/>
  <c r="L32" i="1"/>
  <c r="O32" i="1"/>
  <c r="R32" i="1"/>
  <c r="U32" i="1"/>
  <c r="AA32" i="1"/>
  <c r="AG32" i="1"/>
  <c r="AW32" i="1"/>
  <c r="AU33" i="1"/>
  <c r="AV33" i="1"/>
  <c r="AA33" i="1"/>
  <c r="AG33" i="1"/>
  <c r="AW33" i="1"/>
  <c r="AU34" i="1"/>
  <c r="T34" i="1"/>
  <c r="AV34" i="1"/>
  <c r="U34" i="1"/>
  <c r="AA34" i="1"/>
  <c r="AG34" i="1"/>
  <c r="AW34" i="1"/>
  <c r="AU35" i="1"/>
  <c r="AV35" i="1"/>
  <c r="U35" i="1"/>
  <c r="AA35" i="1"/>
  <c r="AG35" i="1"/>
  <c r="AW35" i="1"/>
  <c r="AU36" i="1"/>
  <c r="K36" i="1"/>
  <c r="Q36" i="1"/>
  <c r="T36" i="1"/>
  <c r="AV36" i="1"/>
  <c r="L36" i="1"/>
  <c r="O36" i="1"/>
  <c r="R36" i="1"/>
  <c r="U36" i="1"/>
  <c r="AA36" i="1"/>
  <c r="AG36" i="1"/>
  <c r="AW36" i="1"/>
  <c r="AU37" i="1"/>
  <c r="K37" i="1"/>
  <c r="N37" i="1"/>
  <c r="Q37" i="1"/>
  <c r="T37" i="1"/>
  <c r="AV37" i="1"/>
  <c r="L37" i="1"/>
  <c r="O37" i="1"/>
  <c r="R37" i="1"/>
  <c r="U37" i="1"/>
  <c r="AA37" i="1"/>
  <c r="AG37" i="1"/>
  <c r="AW37" i="1"/>
  <c r="AU38" i="1"/>
  <c r="K38" i="1"/>
  <c r="N38" i="1"/>
  <c r="Q38" i="1"/>
  <c r="AV38" i="1"/>
  <c r="L38" i="1"/>
  <c r="O38" i="1"/>
  <c r="R38" i="1"/>
  <c r="U38" i="1"/>
  <c r="AA38" i="1"/>
  <c r="AG38" i="1"/>
  <c r="AW38" i="1"/>
  <c r="AU39" i="1"/>
  <c r="N39" i="1"/>
  <c r="Q39" i="1"/>
  <c r="T39" i="1"/>
  <c r="AV39" i="1"/>
  <c r="L39" i="1"/>
  <c r="O39" i="1"/>
  <c r="R39" i="1"/>
  <c r="U39" i="1"/>
  <c r="AA39" i="1"/>
  <c r="AG39" i="1"/>
  <c r="AW39" i="1"/>
  <c r="AU40" i="1"/>
  <c r="K40" i="1"/>
  <c r="N40" i="1"/>
  <c r="Q40" i="1"/>
  <c r="T40" i="1"/>
  <c r="AV40" i="1"/>
  <c r="L40" i="1"/>
  <c r="O40" i="1"/>
  <c r="R40" i="1"/>
  <c r="U40" i="1"/>
  <c r="AA40" i="1"/>
  <c r="AG40" i="1"/>
  <c r="AW40" i="1"/>
  <c r="AU41" i="1"/>
  <c r="K41" i="1"/>
  <c r="N41" i="1"/>
  <c r="T41" i="1"/>
  <c r="AV41" i="1"/>
  <c r="L41" i="1"/>
  <c r="O41" i="1"/>
  <c r="R41" i="1"/>
  <c r="U41" i="1"/>
  <c r="AA41" i="1"/>
  <c r="AG41" i="1"/>
  <c r="AW41" i="1"/>
  <c r="AU42" i="1"/>
  <c r="K42" i="1"/>
  <c r="T42" i="1"/>
  <c r="AV42" i="1"/>
  <c r="L42" i="1"/>
  <c r="O42" i="1"/>
  <c r="R42" i="1"/>
  <c r="U42" i="1"/>
  <c r="AA42" i="1"/>
  <c r="AG42" i="1"/>
  <c r="AW42" i="1"/>
  <c r="AU43" i="1"/>
  <c r="K43" i="1"/>
  <c r="N43" i="1"/>
  <c r="Q43" i="1"/>
  <c r="T43" i="1"/>
  <c r="AV43" i="1"/>
  <c r="L43" i="1"/>
  <c r="O43" i="1"/>
  <c r="R43" i="1"/>
  <c r="U43" i="1"/>
  <c r="AA43" i="1"/>
  <c r="AG43" i="1"/>
  <c r="AW43" i="1"/>
  <c r="AU44" i="1"/>
  <c r="N44" i="1"/>
  <c r="Q44" i="1"/>
  <c r="T44" i="1"/>
  <c r="AV44" i="1"/>
  <c r="L44" i="1"/>
  <c r="O44" i="1"/>
  <c r="R44" i="1"/>
  <c r="U44" i="1"/>
  <c r="AA44" i="1"/>
  <c r="AG44" i="1"/>
  <c r="AW44" i="1"/>
  <c r="AU45" i="1"/>
  <c r="K45" i="1"/>
  <c r="N45" i="1"/>
  <c r="Q45" i="1"/>
  <c r="T45" i="1"/>
  <c r="AV45" i="1"/>
  <c r="L45" i="1"/>
  <c r="O45" i="1"/>
  <c r="R45" i="1"/>
  <c r="U45" i="1"/>
  <c r="AA45" i="1"/>
  <c r="AG45" i="1"/>
  <c r="AW45" i="1"/>
  <c r="AU46" i="1"/>
  <c r="K46" i="1"/>
  <c r="N46" i="1"/>
  <c r="Q46" i="1"/>
  <c r="T46" i="1"/>
  <c r="AV46" i="1"/>
  <c r="L46" i="1"/>
  <c r="O46" i="1"/>
  <c r="R46" i="1"/>
  <c r="U46" i="1"/>
  <c r="AA46" i="1"/>
  <c r="AG46" i="1"/>
  <c r="AW46" i="1"/>
  <c r="AU47" i="1"/>
  <c r="K47" i="1"/>
  <c r="N47" i="1"/>
  <c r="Q47" i="1"/>
  <c r="T47" i="1"/>
  <c r="AV47" i="1"/>
  <c r="L47" i="1"/>
  <c r="O47" i="1"/>
  <c r="R47" i="1"/>
  <c r="U47" i="1"/>
  <c r="AA47" i="1"/>
  <c r="AG47" i="1"/>
  <c r="AW47" i="1"/>
  <c r="AU48" i="1"/>
  <c r="N48" i="1"/>
  <c r="Q48" i="1"/>
  <c r="T48" i="1"/>
  <c r="AV48" i="1"/>
  <c r="L48" i="1"/>
  <c r="O48" i="1"/>
  <c r="R48" i="1"/>
  <c r="U48" i="1"/>
  <c r="AA48" i="1"/>
  <c r="AG48" i="1"/>
  <c r="AW48" i="1"/>
  <c r="AU49" i="1"/>
  <c r="K49" i="1"/>
  <c r="N49" i="1"/>
  <c r="Q49" i="1"/>
  <c r="T49" i="1"/>
  <c r="AV49" i="1"/>
  <c r="L49" i="1"/>
  <c r="O49" i="1"/>
  <c r="R49" i="1"/>
  <c r="U49" i="1"/>
  <c r="AA49" i="1"/>
  <c r="AG49" i="1"/>
  <c r="AW49" i="1"/>
  <c r="AU50" i="1"/>
  <c r="K50" i="1"/>
  <c r="N50" i="1"/>
  <c r="Q50" i="1"/>
  <c r="T50" i="1"/>
  <c r="AV50" i="1"/>
  <c r="L50" i="1"/>
  <c r="O50" i="1"/>
  <c r="R50" i="1"/>
  <c r="U50" i="1"/>
  <c r="AA50" i="1"/>
  <c r="AG50" i="1"/>
  <c r="AW50" i="1"/>
  <c r="AU51" i="1"/>
  <c r="K51" i="1"/>
  <c r="Q51" i="1"/>
  <c r="T51" i="1"/>
  <c r="AV51" i="1"/>
  <c r="L51" i="1"/>
  <c r="O51" i="1"/>
  <c r="R51" i="1"/>
  <c r="U51" i="1"/>
  <c r="AA51" i="1"/>
  <c r="AG51" i="1"/>
  <c r="AW51" i="1"/>
  <c r="AU52" i="1"/>
  <c r="K52" i="1"/>
  <c r="N52" i="1"/>
  <c r="Q52" i="1"/>
  <c r="T52" i="1"/>
  <c r="AV52" i="1"/>
  <c r="L52" i="1"/>
  <c r="O52" i="1"/>
  <c r="R52" i="1"/>
  <c r="U52" i="1"/>
  <c r="AA52" i="1"/>
  <c r="AG52" i="1"/>
  <c r="AW52" i="1"/>
  <c r="AU53" i="1"/>
  <c r="K53" i="1"/>
  <c r="N53" i="1"/>
  <c r="Q53" i="1"/>
  <c r="T53" i="1"/>
  <c r="AV53" i="1"/>
  <c r="L53" i="1"/>
  <c r="O53" i="1"/>
  <c r="R53" i="1"/>
  <c r="U53" i="1"/>
  <c r="AA53" i="1"/>
  <c r="AG53" i="1"/>
  <c r="AW53" i="1"/>
  <c r="AU54" i="1"/>
  <c r="K54" i="1"/>
  <c r="N54" i="1"/>
  <c r="Q54" i="1"/>
  <c r="T54" i="1"/>
  <c r="AV54" i="1"/>
  <c r="L54" i="1"/>
  <c r="O54" i="1"/>
  <c r="R54" i="1"/>
  <c r="U54" i="1"/>
  <c r="AA54" i="1"/>
  <c r="AG54" i="1"/>
  <c r="AW54" i="1"/>
  <c r="AU55" i="1"/>
  <c r="K55" i="1"/>
  <c r="N55" i="1"/>
  <c r="Q55" i="1"/>
  <c r="T55" i="1"/>
  <c r="AV55" i="1"/>
  <c r="L55" i="1"/>
  <c r="O55" i="1"/>
  <c r="R55" i="1"/>
  <c r="U55" i="1"/>
  <c r="AA55" i="1"/>
  <c r="AG55" i="1"/>
  <c r="AW55" i="1"/>
  <c r="AU56" i="1"/>
  <c r="N56" i="1"/>
  <c r="Q56" i="1"/>
  <c r="T56" i="1"/>
  <c r="AV56" i="1"/>
  <c r="L56" i="1"/>
  <c r="O56" i="1"/>
  <c r="R56" i="1"/>
  <c r="U56" i="1"/>
  <c r="AA56" i="1"/>
  <c r="AG56" i="1"/>
  <c r="AW56" i="1"/>
  <c r="AU57" i="1"/>
  <c r="K57" i="1"/>
  <c r="N57" i="1"/>
  <c r="Q57" i="1"/>
  <c r="T57" i="1"/>
  <c r="AV57" i="1"/>
  <c r="L57" i="1"/>
  <c r="O57" i="1"/>
  <c r="R57" i="1"/>
  <c r="U57" i="1"/>
  <c r="AA57" i="1"/>
  <c r="AG57" i="1"/>
  <c r="AW57" i="1"/>
  <c r="AU58" i="1"/>
  <c r="K58" i="1"/>
  <c r="N58" i="1"/>
  <c r="Q58" i="1"/>
  <c r="T58" i="1"/>
  <c r="AV58" i="1"/>
  <c r="L58" i="1"/>
  <c r="O58" i="1"/>
  <c r="R58" i="1"/>
  <c r="U58" i="1"/>
  <c r="AA58" i="1"/>
  <c r="AG58" i="1"/>
  <c r="AW58" i="1"/>
  <c r="AU59" i="1"/>
  <c r="K59" i="1"/>
  <c r="N59" i="1"/>
  <c r="Q59" i="1"/>
  <c r="T59" i="1"/>
  <c r="AV59" i="1"/>
  <c r="L59" i="1"/>
  <c r="O59" i="1"/>
  <c r="R59" i="1"/>
  <c r="U59" i="1"/>
  <c r="AA59" i="1"/>
  <c r="AG59" i="1"/>
  <c r="AW59" i="1"/>
  <c r="AU60" i="1"/>
  <c r="K60" i="1"/>
  <c r="N60" i="1"/>
  <c r="Q60" i="1"/>
  <c r="T60" i="1"/>
  <c r="AV60" i="1"/>
  <c r="L60" i="1"/>
  <c r="O60" i="1"/>
  <c r="R60" i="1"/>
  <c r="U60" i="1"/>
  <c r="AA60" i="1"/>
  <c r="AG60" i="1"/>
  <c r="AW60" i="1"/>
  <c r="AU61" i="1"/>
  <c r="K61" i="1"/>
  <c r="Q61" i="1"/>
  <c r="T61" i="1"/>
  <c r="AV61" i="1"/>
  <c r="L61" i="1"/>
  <c r="O61" i="1"/>
  <c r="R61" i="1"/>
  <c r="U61" i="1"/>
  <c r="AA61" i="1"/>
  <c r="AG61" i="1"/>
  <c r="AW61" i="1"/>
  <c r="AU62" i="1"/>
  <c r="K62" i="1"/>
  <c r="Q62" i="1"/>
  <c r="T62" i="1"/>
  <c r="AV62" i="1"/>
  <c r="L62" i="1"/>
  <c r="O62" i="1"/>
  <c r="R62" i="1"/>
  <c r="U62" i="1"/>
  <c r="AA62" i="1"/>
  <c r="AG62" i="1"/>
  <c r="AW62" i="1"/>
  <c r="AU63" i="1"/>
  <c r="K63" i="1"/>
  <c r="N63" i="1"/>
  <c r="Q63" i="1"/>
  <c r="T63" i="1"/>
  <c r="AV63" i="1"/>
  <c r="L63" i="1"/>
  <c r="O63" i="1"/>
  <c r="R63" i="1"/>
  <c r="U63" i="1"/>
  <c r="AA63" i="1"/>
  <c r="AG63" i="1"/>
  <c r="AW63" i="1"/>
  <c r="AU64" i="1"/>
  <c r="Q64" i="1"/>
  <c r="T64" i="1"/>
  <c r="AV64" i="1"/>
  <c r="L64" i="1"/>
  <c r="R64" i="1"/>
  <c r="U64" i="1"/>
  <c r="AA64" i="1"/>
  <c r="AG64" i="1"/>
  <c r="AW64" i="1"/>
  <c r="AU65" i="1"/>
  <c r="Q65" i="1"/>
  <c r="T65" i="1"/>
  <c r="AV65" i="1"/>
  <c r="L65" i="1"/>
  <c r="O65" i="1"/>
  <c r="R65" i="1"/>
  <c r="U65" i="1"/>
  <c r="AA65" i="1"/>
  <c r="AG65" i="1"/>
  <c r="AW65" i="1"/>
  <c r="AU66" i="1"/>
  <c r="K66" i="1"/>
  <c r="N66" i="1"/>
  <c r="Q66" i="1"/>
  <c r="T66" i="1"/>
  <c r="AV66" i="1"/>
  <c r="L66" i="1"/>
  <c r="O66" i="1"/>
  <c r="R66" i="1"/>
  <c r="U66" i="1"/>
  <c r="AA66" i="1"/>
  <c r="AG66" i="1"/>
  <c r="AW66" i="1"/>
  <c r="AU67" i="1"/>
  <c r="K67" i="1"/>
  <c r="Q67" i="1"/>
  <c r="T67" i="1"/>
  <c r="AV67" i="1"/>
  <c r="L67" i="1"/>
  <c r="O67" i="1"/>
  <c r="R67" i="1"/>
  <c r="U67" i="1"/>
  <c r="AA67" i="1"/>
  <c r="AG67" i="1"/>
  <c r="AW67" i="1"/>
  <c r="AU68" i="1"/>
  <c r="K68" i="1"/>
  <c r="N68" i="1"/>
  <c r="Q68" i="1"/>
  <c r="T68" i="1"/>
  <c r="AV68" i="1"/>
  <c r="L68" i="1"/>
  <c r="O68" i="1"/>
  <c r="R68" i="1"/>
  <c r="U68" i="1"/>
  <c r="AA68" i="1"/>
  <c r="AG68" i="1"/>
  <c r="AW68" i="1"/>
  <c r="AU69" i="1"/>
  <c r="K69" i="1"/>
  <c r="N69" i="1"/>
  <c r="Q69" i="1"/>
  <c r="T69" i="1"/>
  <c r="AV69" i="1"/>
  <c r="L69" i="1"/>
  <c r="O69" i="1"/>
  <c r="R69" i="1"/>
  <c r="U69" i="1"/>
  <c r="AA69" i="1"/>
  <c r="AG69" i="1"/>
  <c r="AW69" i="1"/>
  <c r="AU70" i="1"/>
  <c r="K70" i="1"/>
  <c r="N70" i="1"/>
  <c r="Q70" i="1"/>
  <c r="T70" i="1"/>
  <c r="AV70" i="1"/>
  <c r="L70" i="1"/>
  <c r="O70" i="1"/>
  <c r="R70" i="1"/>
  <c r="U70" i="1"/>
  <c r="AA70" i="1"/>
  <c r="AG70" i="1"/>
  <c r="AW70" i="1"/>
  <c r="AU71" i="1"/>
  <c r="K71" i="1"/>
  <c r="N71" i="1"/>
  <c r="Q71" i="1"/>
  <c r="T71" i="1"/>
  <c r="AV71" i="1"/>
  <c r="L71" i="1"/>
  <c r="O71" i="1"/>
  <c r="R71" i="1"/>
  <c r="U71" i="1"/>
  <c r="AA71" i="1"/>
  <c r="AG71" i="1"/>
  <c r="AW71" i="1"/>
  <c r="AU72" i="1"/>
  <c r="K72" i="1"/>
  <c r="N72" i="1"/>
  <c r="Q72" i="1"/>
  <c r="T72" i="1"/>
  <c r="AV72" i="1"/>
  <c r="L72" i="1"/>
  <c r="O72" i="1"/>
  <c r="R72" i="1"/>
  <c r="U72" i="1"/>
  <c r="AA72" i="1"/>
  <c r="AG72" i="1"/>
  <c r="AW72" i="1"/>
  <c r="F14" i="1"/>
  <c r="I14" i="1"/>
  <c r="O14" i="1"/>
  <c r="U14" i="1"/>
  <c r="AA14" i="1"/>
  <c r="AG14" i="1"/>
  <c r="AW14" i="1"/>
  <c r="E14" i="1"/>
  <c r="T14" i="1"/>
  <c r="AV14" i="1"/>
  <c r="AU14" i="1"/>
  <c r="Z74" i="1"/>
  <c r="K68" i="10"/>
  <c r="M68" i="10"/>
  <c r="M59" i="10"/>
  <c r="M60" i="10"/>
  <c r="M28" i="10"/>
  <c r="M27" i="10"/>
  <c r="M36" i="10"/>
  <c r="M45" i="10"/>
  <c r="M42" i="10"/>
  <c r="BA14" i="1"/>
  <c r="BA20" i="1"/>
  <c r="BA28" i="1"/>
  <c r="BA32" i="1"/>
  <c r="BB32" i="1"/>
  <c r="BB28" i="1"/>
  <c r="BB20" i="1"/>
  <c r="BB14" i="1"/>
  <c r="AS74" i="1"/>
  <c r="AS76" i="1"/>
  <c r="AQ74" i="1"/>
  <c r="AP74" i="1"/>
  <c r="AP76" i="1"/>
  <c r="AO74" i="1"/>
  <c r="AN74" i="1"/>
  <c r="AM74" i="1"/>
  <c r="AM76" i="1"/>
  <c r="AL74" i="1"/>
  <c r="AK74" i="1"/>
  <c r="AJ74" i="1"/>
  <c r="AJ76" i="1"/>
  <c r="AI74" i="1"/>
  <c r="AH74" i="1"/>
  <c r="AG74" i="1"/>
  <c r="AG76" i="1"/>
  <c r="AF74" i="1"/>
  <c r="AF76" i="1"/>
  <c r="AE74" i="1"/>
  <c r="AD74" i="1"/>
  <c r="AD76" i="1"/>
  <c r="AC74" i="1"/>
  <c r="AC76" i="1"/>
  <c r="AB74" i="1"/>
  <c r="AU74" i="1"/>
  <c r="AR74" i="1"/>
  <c r="AO76" i="1"/>
  <c r="AL76" i="1"/>
  <c r="AI76" i="1"/>
  <c r="I150" i="8"/>
  <c r="I151" i="8" s="1"/>
  <c r="I149" i="8"/>
  <c r="AA74" i="1"/>
  <c r="AA76" i="1"/>
  <c r="Y74" i="1"/>
  <c r="V74" i="1"/>
  <c r="X74" i="1"/>
  <c r="X76" i="1"/>
  <c r="W74" i="1"/>
  <c r="S74" i="1"/>
  <c r="T74" i="1"/>
  <c r="U74" i="1"/>
  <c r="U76" i="1"/>
  <c r="AR76" i="1"/>
  <c r="AE6" i="1"/>
  <c r="AB6" i="1"/>
  <c r="P74" i="1"/>
  <c r="M74" i="1"/>
  <c r="J74" i="1"/>
  <c r="G74" i="1"/>
  <c r="D74" i="1"/>
  <c r="AY28" i="1"/>
  <c r="AQ6" i="1"/>
  <c r="Q74" i="1"/>
  <c r="R74" i="1"/>
  <c r="R76" i="1"/>
  <c r="O74" i="1"/>
  <c r="O76" i="1"/>
  <c r="N74" i="1"/>
  <c r="V6" i="1"/>
  <c r="W76" i="1"/>
  <c r="Y6" i="1"/>
  <c r="Z76" i="1"/>
  <c r="S6" i="1"/>
  <c r="T76" i="1"/>
  <c r="AY32" i="1"/>
  <c r="AW74" i="1"/>
  <c r="K74" i="1"/>
  <c r="L74" i="1"/>
  <c r="L76" i="1"/>
  <c r="J6" i="1"/>
  <c r="H74" i="1"/>
  <c r="P6" i="1"/>
  <c r="Q76" i="1"/>
  <c r="K76" i="1"/>
  <c r="I74" i="1"/>
  <c r="I76" i="1"/>
  <c r="F74" i="1"/>
  <c r="F76" i="1"/>
  <c r="G6" i="1"/>
  <c r="D6" i="1"/>
  <c r="N76" i="1"/>
  <c r="M6" i="1"/>
  <c r="H76" i="1"/>
  <c r="F21" i="5"/>
  <c r="F20" i="5"/>
  <c r="F19" i="5"/>
  <c r="F18" i="5"/>
  <c r="F17" i="5"/>
  <c r="F16" i="5"/>
  <c r="F15" i="5"/>
  <c r="F14" i="5"/>
  <c r="F13" i="5"/>
  <c r="F12" i="5"/>
  <c r="F11" i="5"/>
  <c r="F10" i="5"/>
  <c r="F9" i="5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6" i="5"/>
  <c r="F8" i="5"/>
  <c r="F7" i="5"/>
  <c r="F6" i="5"/>
  <c r="F5" i="5"/>
  <c r="G5" i="5"/>
  <c r="H5" i="5"/>
  <c r="G6" i="5"/>
  <c r="H6" i="5"/>
  <c r="G7" i="5"/>
  <c r="G8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AY20" i="1"/>
  <c r="AY14" i="1"/>
  <c r="AV74" i="1"/>
  <c r="E74" i="1"/>
  <c r="E76" i="1"/>
  <c r="H7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K4" i="3"/>
  <c r="K5" i="3"/>
  <c r="K6" i="3"/>
  <c r="K7" i="3"/>
  <c r="K8" i="3"/>
  <c r="K9" i="3"/>
  <c r="K10" i="3"/>
  <c r="K11" i="3"/>
  <c r="K12" i="3"/>
  <c r="K3" i="3"/>
  <c r="L4" i="3"/>
  <c r="L5" i="3"/>
  <c r="L6" i="3"/>
  <c r="L7" i="3"/>
  <c r="L8" i="3"/>
  <c r="L9" i="3"/>
  <c r="L10" i="3"/>
  <c r="L11" i="3"/>
  <c r="L12" i="3"/>
  <c r="L3" i="3"/>
  <c r="AZ14" i="1"/>
  <c r="AZ32" i="1"/>
  <c r="AZ28" i="1"/>
  <c r="AZ20" i="1"/>
  <c r="M20" i="10"/>
  <c r="M33" i="10"/>
  <c r="M46" i="10"/>
  <c r="M51" i="10"/>
  <c r="M9" i="10"/>
  <c r="M47" i="10"/>
  <c r="M17" i="10"/>
  <c r="M32" i="10"/>
  <c r="M10" i="10"/>
  <c r="M11" i="10"/>
  <c r="M30" i="10"/>
  <c r="M26" i="10"/>
  <c r="M18" i="10"/>
  <c r="M15" i="10"/>
  <c r="M38" i="10"/>
  <c r="M4" i="10"/>
  <c r="M39" i="10"/>
  <c r="M6" i="10"/>
  <c r="M40" i="10"/>
  <c r="M37" i="10"/>
  <c r="M24" i="10"/>
  <c r="M14" i="10"/>
  <c r="M57" i="10"/>
  <c r="M48" i="10"/>
  <c r="M35" i="10"/>
  <c r="M29" i="10"/>
  <c r="M50" i="10"/>
  <c r="M25" i="10"/>
  <c r="M54" i="10"/>
  <c r="M7" i="10"/>
  <c r="M56" i="10"/>
  <c r="M5" i="10"/>
  <c r="M19" i="10"/>
  <c r="M21" i="10"/>
  <c r="M16" i="10"/>
  <c r="M34" i="10"/>
  <c r="M12" i="10"/>
  <c r="M8" i="10"/>
  <c r="O107" i="18" l="1"/>
  <c r="O36" i="8"/>
  <c r="O15" i="14"/>
  <c r="U15" i="14"/>
  <c r="O28" i="14"/>
  <c r="O67" i="18"/>
  <c r="O73" i="18"/>
  <c r="O113" i="18"/>
  <c r="O68" i="18"/>
  <c r="O74" i="18"/>
  <c r="O106" i="18"/>
  <c r="O114" i="18"/>
  <c r="O51" i="14"/>
  <c r="O116" i="18"/>
  <c r="O117" i="18"/>
  <c r="O32" i="8"/>
  <c r="O71" i="18"/>
  <c r="O75" i="18"/>
  <c r="O118" i="18"/>
  <c r="O28" i="8"/>
  <c r="O42" i="18"/>
  <c r="O72" i="18"/>
  <c r="O77" i="18"/>
  <c r="O120" i="18"/>
  <c r="O31" i="18"/>
  <c r="O44" i="14"/>
  <c r="O67" i="14"/>
  <c r="O124" i="18"/>
  <c r="O11" i="14"/>
  <c r="U11" i="14"/>
  <c r="O100" i="14"/>
  <c r="O122" i="14"/>
  <c r="O85" i="8"/>
  <c r="O125" i="18"/>
  <c r="O15" i="8"/>
  <c r="O138" i="14"/>
  <c r="O20" i="8"/>
  <c r="O32" i="14"/>
  <c r="O48" i="14"/>
  <c r="O55" i="14"/>
  <c r="O71" i="14"/>
  <c r="O104" i="14"/>
  <c r="O126" i="14"/>
  <c r="O142" i="14"/>
  <c r="O89" i="8"/>
  <c r="O26" i="8"/>
  <c r="O121" i="18"/>
  <c r="O126" i="18"/>
  <c r="O6" i="8"/>
  <c r="O13" i="14"/>
  <c r="U13" i="14"/>
  <c r="O17" i="14"/>
  <c r="U17" i="14"/>
  <c r="O36" i="14"/>
  <c r="O59" i="14"/>
  <c r="O75" i="14"/>
  <c r="O85" i="14"/>
  <c r="O92" i="14"/>
  <c r="O108" i="14"/>
  <c r="O114" i="14"/>
  <c r="O130" i="14"/>
  <c r="O122" i="18"/>
  <c r="O128" i="18"/>
  <c r="O11" i="8"/>
  <c r="O22" i="14"/>
  <c r="U22" i="14"/>
  <c r="O40" i="14"/>
  <c r="O63" i="14"/>
  <c r="O79" i="14"/>
  <c r="O89" i="14"/>
  <c r="O96" i="14"/>
  <c r="O118" i="14"/>
  <c r="O134" i="14"/>
  <c r="O35" i="8"/>
  <c r="O31" i="8"/>
  <c r="O33" i="18"/>
  <c r="O132" i="18"/>
  <c r="O38" i="8"/>
  <c r="O34" i="8"/>
  <c r="O30" i="8"/>
  <c r="O29" i="18"/>
  <c r="O34" i="18"/>
  <c r="O133" i="18"/>
  <c r="O37" i="8"/>
  <c r="O33" i="8"/>
  <c r="O29" i="8"/>
  <c r="O30" i="18"/>
  <c r="O35" i="18"/>
  <c r="O79" i="18"/>
  <c r="O82" i="18"/>
  <c r="O129" i="18"/>
  <c r="O134" i="18"/>
  <c r="O39" i="8"/>
  <c r="O130" i="18"/>
  <c r="O137" i="18"/>
  <c r="O82" i="8"/>
  <c r="O86" i="8"/>
  <c r="O8" i="18"/>
  <c r="O9" i="18"/>
  <c r="O11" i="18"/>
  <c r="O43" i="18"/>
  <c r="O84" i="18"/>
  <c r="O138" i="18"/>
  <c r="O83" i="8"/>
  <c r="O87" i="8"/>
  <c r="O15" i="18"/>
  <c r="O44" i="18"/>
  <c r="O76" i="18"/>
  <c r="O85" i="18"/>
  <c r="O141" i="18"/>
  <c r="O84" i="8"/>
  <c r="O88" i="8"/>
  <c r="O86" i="18"/>
  <c r="O7" i="8"/>
  <c r="O12" i="8"/>
  <c r="O16" i="8"/>
  <c r="O21" i="8"/>
  <c r="O6" i="14"/>
  <c r="O9" i="14"/>
  <c r="U9" i="14"/>
  <c r="O25" i="14"/>
  <c r="O31" i="14"/>
  <c r="O35" i="14"/>
  <c r="O43" i="14"/>
  <c r="O47" i="14"/>
  <c r="O50" i="14"/>
  <c r="O54" i="14"/>
  <c r="O58" i="14"/>
  <c r="O62" i="14"/>
  <c r="O66" i="14"/>
  <c r="O70" i="14"/>
  <c r="O74" i="14"/>
  <c r="O78" i="14"/>
  <c r="O84" i="14"/>
  <c r="O88" i="14"/>
  <c r="O91" i="14"/>
  <c r="O95" i="14"/>
  <c r="O99" i="14"/>
  <c r="O103" i="14"/>
  <c r="O107" i="14"/>
  <c r="O113" i="14"/>
  <c r="O117" i="14"/>
  <c r="O121" i="14"/>
  <c r="O125" i="14"/>
  <c r="O129" i="14"/>
  <c r="O133" i="14"/>
  <c r="O137" i="14"/>
  <c r="O141" i="14"/>
  <c r="O145" i="14"/>
  <c r="O25" i="8"/>
  <c r="O24" i="8" s="1"/>
  <c r="O12" i="18"/>
  <c r="O16" i="18"/>
  <c r="O28" i="18"/>
  <c r="O32" i="18"/>
  <c r="O37" i="18"/>
  <c r="O41" i="18"/>
  <c r="O45" i="18"/>
  <c r="O83" i="18"/>
  <c r="O88" i="18"/>
  <c r="O93" i="18"/>
  <c r="O97" i="18"/>
  <c r="O101" i="18"/>
  <c r="O105" i="18"/>
  <c r="O109" i="18"/>
  <c r="O111" i="18"/>
  <c r="O115" i="18"/>
  <c r="O119" i="18"/>
  <c r="O123" i="18"/>
  <c r="O127" i="18"/>
  <c r="O131" i="18"/>
  <c r="O135" i="18"/>
  <c r="O139" i="18"/>
  <c r="O143" i="18"/>
  <c r="O22" i="18"/>
  <c r="O8" i="8"/>
  <c r="O13" i="8"/>
  <c r="O17" i="8"/>
  <c r="O22" i="8"/>
  <c r="U6" i="14"/>
  <c r="Z6" i="14" s="1"/>
  <c r="AA6" i="14" s="1"/>
  <c r="AF6" i="14" s="1"/>
  <c r="AG6" i="14" s="1"/>
  <c r="O12" i="14"/>
  <c r="U12" i="14"/>
  <c r="O14" i="14"/>
  <c r="U14" i="14"/>
  <c r="O16" i="14"/>
  <c r="U16" i="14"/>
  <c r="U19" i="14"/>
  <c r="Z19" i="14" s="1"/>
  <c r="AA19" i="14" s="1"/>
  <c r="AF19" i="14" s="1"/>
  <c r="AG19" i="14" s="1"/>
  <c r="U20" i="14"/>
  <c r="Z20" i="14" s="1"/>
  <c r="O21" i="14"/>
  <c r="U21" i="14"/>
  <c r="O30" i="14"/>
  <c r="O34" i="14"/>
  <c r="O38" i="14"/>
  <c r="O42" i="14"/>
  <c r="O46" i="14"/>
  <c r="O53" i="14"/>
  <c r="O57" i="14"/>
  <c r="O61" i="14"/>
  <c r="O65" i="14"/>
  <c r="O69" i="14"/>
  <c r="O73" i="14"/>
  <c r="O77" i="14"/>
  <c r="O83" i="14"/>
  <c r="O87" i="14"/>
  <c r="O94" i="14"/>
  <c r="O98" i="14"/>
  <c r="O102" i="14"/>
  <c r="O106" i="14"/>
  <c r="O112" i="14"/>
  <c r="O116" i="14"/>
  <c r="O120" i="14"/>
  <c r="O124" i="14"/>
  <c r="O128" i="14"/>
  <c r="O132" i="14"/>
  <c r="O136" i="14"/>
  <c r="O140" i="14"/>
  <c r="O144" i="14"/>
  <c r="O146" i="14"/>
  <c r="O6" i="18"/>
  <c r="O7" i="18"/>
  <c r="O13" i="18"/>
  <c r="O17" i="18"/>
  <c r="O38" i="18"/>
  <c r="O48" i="18"/>
  <c r="O136" i="18"/>
  <c r="O140" i="18"/>
  <c r="O144" i="18"/>
  <c r="O21" i="18"/>
  <c r="O25" i="18"/>
  <c r="O9" i="8"/>
  <c r="O14" i="8"/>
  <c r="O19" i="8"/>
  <c r="O7" i="14"/>
  <c r="U7" i="14"/>
  <c r="Z7" i="14" s="1"/>
  <c r="O8" i="14"/>
  <c r="U8" i="14"/>
  <c r="O19" i="14"/>
  <c r="O20" i="14"/>
  <c r="O26" i="14"/>
  <c r="O29" i="14"/>
  <c r="O33" i="14"/>
  <c r="O37" i="14"/>
  <c r="O41" i="14"/>
  <c r="O45" i="14"/>
  <c r="O52" i="14"/>
  <c r="O56" i="14"/>
  <c r="O60" i="14"/>
  <c r="O64" i="14"/>
  <c r="O68" i="14"/>
  <c r="O72" i="14"/>
  <c r="O76" i="14"/>
  <c r="O80" i="14"/>
  <c r="O82" i="14"/>
  <c r="O86" i="14"/>
  <c r="O93" i="14"/>
  <c r="O97" i="14"/>
  <c r="O101" i="14"/>
  <c r="O105" i="14"/>
  <c r="O109" i="14"/>
  <c r="O111" i="14"/>
  <c r="O115" i="14"/>
  <c r="O119" i="14"/>
  <c r="O123" i="14"/>
  <c r="O127" i="14"/>
  <c r="O131" i="14"/>
  <c r="O135" i="14"/>
  <c r="O139" i="14"/>
  <c r="O143" i="14"/>
  <c r="O148" i="14"/>
  <c r="O147" i="14" s="1"/>
  <c r="O49" i="8"/>
  <c r="O90" i="8"/>
  <c r="O110" i="8"/>
  <c r="O14" i="18"/>
  <c r="O19" i="18"/>
  <c r="O26" i="18"/>
  <c r="O80" i="18"/>
  <c r="O89" i="18"/>
  <c r="O46" i="18"/>
  <c r="O27" i="8" l="1"/>
  <c r="O49" i="18"/>
  <c r="O24" i="18"/>
  <c r="O24" i="14"/>
  <c r="O39" i="14"/>
  <c r="O90" i="18"/>
  <c r="O81" i="18"/>
  <c r="O39" i="18"/>
  <c r="O27" i="18"/>
  <c r="O110" i="14"/>
  <c r="O27" i="14"/>
  <c r="O81" i="8"/>
  <c r="O81" i="14"/>
  <c r="O49" i="14"/>
  <c r="O110" i="18"/>
  <c r="O90" i="14"/>
</calcChain>
</file>

<file path=xl/sharedStrings.xml><?xml version="1.0" encoding="utf-8"?>
<sst xmlns="http://schemas.openxmlformats.org/spreadsheetml/2006/main" count="3250" uniqueCount="840">
  <si>
    <t>Ingenieria Obras Tempranas</t>
  </si>
  <si>
    <t>EPC Reducción Emisiones</t>
  </si>
  <si>
    <t>CPPE - Salfa Montajes</t>
  </si>
  <si>
    <t>Worley Parsons</t>
  </si>
  <si>
    <t>Ingenieria Basica</t>
  </si>
  <si>
    <t>Proyecto Reducción de Emisiones</t>
  </si>
  <si>
    <t>Reemplazo Torre Absorción PLG1</t>
  </si>
  <si>
    <t>Ingenieria Detalles y Construcción</t>
  </si>
  <si>
    <t>Construcción</t>
  </si>
  <si>
    <t>Proyecto Reemplazo Torre Absorción PLG1</t>
  </si>
  <si>
    <t>Interno</t>
  </si>
  <si>
    <t>Ingenieria</t>
  </si>
  <si>
    <t>Inversión ($USD)</t>
  </si>
  <si>
    <t>Ingenieria prefactibilidad</t>
  </si>
  <si>
    <t>Contratos</t>
  </si>
  <si>
    <t>Proyectos</t>
  </si>
  <si>
    <t>Contratista</t>
  </si>
  <si>
    <t>Etapa ciclo vida</t>
  </si>
  <si>
    <t>HH totales</t>
  </si>
  <si>
    <t>Licitación Ingenieria</t>
  </si>
  <si>
    <t>Licitación Construcción</t>
  </si>
  <si>
    <t>Se analizan demasiadas opciones</t>
  </si>
  <si>
    <t>Mala estimación del plazo de construcción en la etapa de la ingenieria</t>
  </si>
  <si>
    <t>Nexxo / Proingesa - Alpa</t>
  </si>
  <si>
    <t>Definición muy vaga del proyecto.</t>
  </si>
  <si>
    <t>Espectro de empesas acotado</t>
  </si>
  <si>
    <t>Enfasis en el nombre y no especialización de la empresa.</t>
  </si>
  <si>
    <t>Poco enfasis en la experiencia del personal clave</t>
  </si>
  <si>
    <t>Operacionales</t>
  </si>
  <si>
    <t>Interferencia por capacitaciones</t>
  </si>
  <si>
    <t>Procedimientos de cerficaciones de calidad</t>
  </si>
  <si>
    <t>Regulaciones y aprobación de permisos</t>
  </si>
  <si>
    <t>Accidente y/o incidente en obra</t>
  </si>
  <si>
    <t>Calidad de los materiales en obra</t>
  </si>
  <si>
    <t>Complejidad mayor de lo esperado</t>
  </si>
  <si>
    <t>Reejecución de trabajos</t>
  </si>
  <si>
    <t>Interferencias en el desarrollo de las obras civiles</t>
  </si>
  <si>
    <t>Demora en los traslados y/o instalaciones</t>
  </si>
  <si>
    <t>Imprevistos de ingenieria anterior al inicio de obras</t>
  </si>
  <si>
    <t>Interferencias con áreas de otros proyectos</t>
  </si>
  <si>
    <t>Imprevistos de ingenieria en terreno</t>
  </si>
  <si>
    <t>Interferencias por visitas de personal propio</t>
  </si>
  <si>
    <t>Equipos</t>
  </si>
  <si>
    <t>Bajo rendimiento de equipos</t>
  </si>
  <si>
    <t>Fallas mecánicas y/o eléctricas</t>
  </si>
  <si>
    <t>Disponibilidad de equipos</t>
  </si>
  <si>
    <t>No tener equipos o tenerlos en mantención</t>
  </si>
  <si>
    <t>Dotación</t>
  </si>
  <si>
    <t>Disponibilidad de mano de obra</t>
  </si>
  <si>
    <t>Contingencias</t>
  </si>
  <si>
    <t>Condiciones de tiempo desfavorable</t>
  </si>
  <si>
    <t>Eventos de fuerza mayor</t>
  </si>
  <si>
    <t>Paro y/o Manifestación.</t>
  </si>
  <si>
    <t>Servicios</t>
  </si>
  <si>
    <t>Planificación</t>
  </si>
  <si>
    <t>Aumento de obra en la relación a lo contemplado</t>
  </si>
  <si>
    <t>Mala planificación</t>
  </si>
  <si>
    <t>Materiales y/o mano de obra insuficiente.</t>
  </si>
  <si>
    <t>Ampliación Instalación Casa Blanca</t>
  </si>
  <si>
    <t>Solmex</t>
  </si>
  <si>
    <t>Mejoramiento PLG1</t>
  </si>
  <si>
    <t xml:space="preserve">Alimentación Eléctrica SRE </t>
  </si>
  <si>
    <t>Idiem</t>
  </si>
  <si>
    <t>Pais</t>
  </si>
  <si>
    <t>Otro (polvo, niebla, bacteriano, insectos, mala operación, apagones, falla de otros servicios, viento/lluvia/humedad/temperatura/ ambiente/estado de funcionamiento/repuestos)</t>
  </si>
  <si>
    <t>Vibración (equipo, estructuras, flujos, sonidos, ruidos)</t>
  </si>
  <si>
    <t>Eléctrico (electrocución, quemadura, formación de arcos, explosión eléctrica, avivamiento, electrostáticos inesperados)</t>
  </si>
  <si>
    <t>Radiación (luz visible de la intensidad ultravioleta e infrarroja, alta, microondas, campos magnéticos de los rayos laser, nucleares, intensos, radiación de ionización)</t>
  </si>
  <si>
    <t>Mecánico (bordes agudos, superficies disparadas, deslizadizo, objetos pesados, objetos para levantar, el caer, escalas o plataformas, piezas o fragmentos expulsados, puntos sin vigilar, movimientos inesperados de objetos, degeneración del equipo o malfuncionamiento</t>
  </si>
  <si>
    <t>Temperatura (superficies o gas de escape calientes, soplo del vapor, material fundido, superficies y materiales criogénicos, temperaturas ambiente extremas)</t>
  </si>
  <si>
    <t>Presión (herramientas neumáticas, escapes de alta presión de gas/steam, descarga del respiradero, ruptura del equipo, vacío, particulates que soplan)</t>
  </si>
  <si>
    <t>Existencia de productos-agudos y tóxicos (asfixiadores, venenos, quemaduras del producto químico, agentes carcinógenos, gases inertes, reacciones del fugitivo, materiales incompatibles, corrosión, contaminación, derramamientos del producto químico)</t>
  </si>
  <si>
    <t>Condiciones y materiales inflamables, derramamientos, acumulación, fuentes de ignición, auto-ignición, materiales inestables y reactivos, reacciones exotérmicas</t>
  </si>
  <si>
    <t>Peligros</t>
  </si>
  <si>
    <t>Conclicto von la seguridad del personal</t>
  </si>
  <si>
    <t>Generación de Ruido</t>
  </si>
  <si>
    <t>Impacto del desastre industrial o ambiental</t>
  </si>
  <si>
    <t>Uso de materiales peligrosos en la construcción o comisionamiento</t>
  </si>
  <si>
    <t>Presencia de materiales peligrosos en instalaciones existentes o nuevas</t>
  </si>
  <si>
    <t>Lanzamiento potencial de productos químicos, gases, líquidos o de sólidos peligrosos</t>
  </si>
  <si>
    <t>Impacto de la falta de equipo o del error humano</t>
  </si>
  <si>
    <t>Riesgos de la enfermedad y de salud</t>
  </si>
  <si>
    <t>Contaminación de la tierra, del agua o del aire</t>
  </si>
  <si>
    <t>Conflicto con conservación y puesta en peligro de especies</t>
  </si>
  <si>
    <t>Conflicto con Valores de la comunidad y patrimonio nacional</t>
  </si>
  <si>
    <t>Ambiente, salud y seguridad</t>
  </si>
  <si>
    <t>Conflictos entre los miembros del equipo y los usuarios finales (operaciones)</t>
  </si>
  <si>
    <t xml:space="preserve">Ocurrencia de huelgas en la fabricación y la construcción </t>
  </si>
  <si>
    <t>Falta de entrenamiento</t>
  </si>
  <si>
    <t>Excesiva rotación de personal y dificultad del reemplazo a través del proceso del reclutamiento</t>
  </si>
  <si>
    <t>Impacto de la pérdida de habilidades críticas debido a la enfermedad o de la pérdida de personal a los competidores</t>
  </si>
  <si>
    <t>Impacto de los efectos de la curva que aprenden</t>
  </si>
  <si>
    <t>Inexperiencia con métodos de funcionamiento, procedimientos, herramientas y técnicas</t>
  </si>
  <si>
    <t>Inexperiencia con tecnología y el equipo de la planta</t>
  </si>
  <si>
    <t>Falta de definición de las habilidades requeridas</t>
  </si>
  <si>
    <t>Falta de disponibilidad de expertos</t>
  </si>
  <si>
    <t>Insuficiente nivel de conocimiento de la organización del cliente y cómo funciona</t>
  </si>
  <si>
    <t>Poca familiaridad del equipo con el producto final del proyecto</t>
  </si>
  <si>
    <t>Equipo si el nivel de experiencia y habilidades administrativas</t>
  </si>
  <si>
    <t>Incapacidad de comprender requerimientos de los usuarios finales del producto del proyecto</t>
  </si>
  <si>
    <t>Incapacidad de entender las implicaciones humanas del producto del proyecto</t>
  </si>
  <si>
    <t>Falta de eficacia en el trabajo de equipo</t>
  </si>
  <si>
    <t>Falta de capacidad del equipo de trabajar con la gerencia superior</t>
  </si>
  <si>
    <t>Falta de capacidad del equipo de trabajar con objetivo incierto</t>
  </si>
  <si>
    <t>Problemas de comunicación entre miembros del equipo</t>
  </si>
  <si>
    <t>Falta de claridad con la cual se define roles &amp; responsabilidades de cada miembro del equipo</t>
  </si>
  <si>
    <t>Recursos Humanos</t>
  </si>
  <si>
    <t>Deficiente definición de requisitos para nuevo hardware y software</t>
  </si>
  <si>
    <t>Excesivo número de acoplamientos del sistema de información a otros sistemas o instalaciones (existentes y futuro)</t>
  </si>
  <si>
    <t>Requisitos inusuales de la anchura de banda, de la estabilidad o de la velocidad para el sistema de información</t>
  </si>
  <si>
    <t>Deficiente infraestructura de telecomunicaciones</t>
  </si>
  <si>
    <t>Excesiva complejidad del sistema de información</t>
  </si>
  <si>
    <t>Indisponibilidad del hardware y del software del sistema de información</t>
  </si>
  <si>
    <t>Comunicación</t>
  </si>
  <si>
    <t>Términos sobre pagos o financiamiento del cliente que provoque cambios que afecten el flujo de liquidez del proyecto</t>
  </si>
  <si>
    <t>Documentación inadecuada del contrato para la estrategia adoptada para la entrega del proyecto</t>
  </si>
  <si>
    <t>Litigio por lesión de los terceros, muerte o daños</t>
  </si>
  <si>
    <t>Inestabilidad financiera del cliente</t>
  </si>
  <si>
    <t>Falta de competencias técnicas en el equipo del cliente impide estabilizar requerimientos</t>
  </si>
  <si>
    <t>Potencial de existencia de pleito/arbitrio</t>
  </si>
  <si>
    <t>Deficultades con seguros, garantías, etc</t>
  </si>
  <si>
    <t>Servicios profesionales y ejecución deficientes</t>
  </si>
  <si>
    <t>Daños al proyecto o sobre las propiedades del cliente</t>
  </si>
  <si>
    <t>Daños consecuentes y exposición de pérdida máxima</t>
  </si>
  <si>
    <t>Falta de claridad en las condiciones para la aceptación final por el cliente</t>
  </si>
  <si>
    <t>Complejidad de la estructura del negocio afecta buen desarrollo del proyecto</t>
  </si>
  <si>
    <t>Excesiva complejidad del acuerdo y de la documentación</t>
  </si>
  <si>
    <t>Contractual</t>
  </si>
  <si>
    <t>Falta de familiarización de la organización del Cliente con las instalaciones que son entregadas como parte del proyecto</t>
  </si>
  <si>
    <t>Falta de familiarización de la organización del Cliente con proceso y proyectos de la entrega del proyecto en general</t>
  </si>
  <si>
    <t>Especificación excesiva de requisitos</t>
  </si>
  <si>
    <t>Poca participación del Cliente en la definición de requisitos</t>
  </si>
  <si>
    <t>Lenta respuesta del Cliente a las peticiones del equipo de proyecto</t>
  </si>
  <si>
    <t>Falta de preparación del cliente para aceptar los cambios que ocurran en el transcurso del proyecto</t>
  </si>
  <si>
    <t>Indisponibilidad de los usuarios para contestar a preguntas</t>
  </si>
  <si>
    <t>Consecuencias negativas producto de cambios en la organización del cliente como resultado del proyecto</t>
  </si>
  <si>
    <t>Mala definición de la interfaz entre el proyecto y producción (operación)</t>
  </si>
  <si>
    <t>Calidad de la estimación y presupuesto y grado de provisiones</t>
  </si>
  <si>
    <t>Inestabilidad del alcance (reducción, cambios, errores, supuestos)</t>
  </si>
  <si>
    <t>Carencia de la alineación entre los tenedores (cliente y equipo de proyecto)</t>
  </si>
  <si>
    <t xml:space="preserve">Carencia de la estrategia de integración entre los equipos participantes </t>
  </si>
  <si>
    <t>Criterios confusos y poco realistas sobre del funcionamiento del sistema entregable</t>
  </si>
  <si>
    <t>Insuficiente conocimiento de los objetivos y de los apremios del cliente</t>
  </si>
  <si>
    <t>Integración</t>
  </si>
  <si>
    <t>Excesivo tiempo en transporte y logística</t>
  </si>
  <si>
    <t>Dificultad de acceso al sitio</t>
  </si>
  <si>
    <t>Problemas asociados a la duración y complejidad del viaje</t>
  </si>
  <si>
    <t>Indisponibilidad de equipo de transporte especial</t>
  </si>
  <si>
    <t>Problemas por camino, puente, túnel, puerto, restricciones del aeropuerto</t>
  </si>
  <si>
    <t>Pesos y dimensiones de la carga máxima dificultan su transporte</t>
  </si>
  <si>
    <t>Falta de disponibilidad de transporte adecuado</t>
  </si>
  <si>
    <t>Logística</t>
  </si>
  <si>
    <t>Deficiente Integración de constructibilidad</t>
  </si>
  <si>
    <t>Inadecuados requisitos para los sistemas y los procesos inusuales (aislamiento, procedimientos del trabajo y permisos de trabajo)</t>
  </si>
  <si>
    <t>Número y complejidad de interfaces con el trabajo concurrente</t>
  </si>
  <si>
    <t>Excavación y demolición inusuales o difíciles</t>
  </si>
  <si>
    <t>Elevación inusual o difícil con las grúas</t>
  </si>
  <si>
    <t>Impacto en la productividad debido a espacios confinados</t>
  </si>
  <si>
    <t>Acceso y salida inusuales o difíciles</t>
  </si>
  <si>
    <t>Peligros del trabajo en la altura (material y caídas descendentes)</t>
  </si>
  <si>
    <t>Incapacidad de integrar contratos individuales de la construcción</t>
  </si>
  <si>
    <t>Impacto de actividades externas en la construcción</t>
  </si>
  <si>
    <t>Impacto del trabajo del mantenimiento en la construcción</t>
  </si>
  <si>
    <t xml:space="preserve">Existencia de variaciones de productividades </t>
  </si>
  <si>
    <t>Problemas por el número y complejidad de las interfaces del contratista</t>
  </si>
  <si>
    <t>Problemas por alejamiento del emplazamiento de la obra</t>
  </si>
  <si>
    <t>Retraso en la secuencia de la construcción</t>
  </si>
  <si>
    <t>Indisponibilidad de los materiales y del equipo de construcción</t>
  </si>
  <si>
    <t>Uso de materiales, de métodos o del equipo anormales de la construcción</t>
  </si>
  <si>
    <t>Existencia de requisitos de seguridad inusuales del sitio</t>
  </si>
  <si>
    <t>Mala calidad en los materiales de la construcción</t>
  </si>
  <si>
    <t>Débil coordinación sobre las instalaciones durante la construcción</t>
  </si>
  <si>
    <t>Deficiente calidad de garantías en mercancías y servicios</t>
  </si>
  <si>
    <t>Sorpresas con derechos o impuestos inusuales de aduana</t>
  </si>
  <si>
    <t>Estándar contra diseño de encargo del equipo</t>
  </si>
  <si>
    <t>Desconocimiento de los apremios del tiempo de vendedores y de contratistas</t>
  </si>
  <si>
    <t>Deficiente calidad y nivel del detalle de los contratos y de la especificación para la construcción del equipo</t>
  </si>
  <si>
    <t>Existencia de condiciones especiales o requisitos no declaradas</t>
  </si>
  <si>
    <t>Deficiente comprensión del vendedor o del contratista de requisitos específicos</t>
  </si>
  <si>
    <t>Deficiente calidad de mercancías procuradas y de servicios</t>
  </si>
  <si>
    <t>Excesiva complejidad del proceso del diseño del equipamiento</t>
  </si>
  <si>
    <t>Falta de madurez del diseño de algunos equipos</t>
  </si>
  <si>
    <t>Daño en las relaciones futuras del negocio con los vendedores y los contratistas</t>
  </si>
  <si>
    <t>Tipo del contrato inadecuados para el alcance del trabajo y el nivel de definición del alcance</t>
  </si>
  <si>
    <t>Complejidad de la fabricación y del montaje del equipamiento afecta el avance</t>
  </si>
  <si>
    <t>Aplicabilidad del conocimiento técnico del vendedor y del contratista, de la capacidad y de la experiencia</t>
  </si>
  <si>
    <t>Falta  de conocimiento técnico del vendedor y del contratista, de la capacidad y de la experiencia</t>
  </si>
  <si>
    <t>Falta o cambio en la propiedad de vendedores o de contratistas críticos</t>
  </si>
  <si>
    <t>Disponibilidad limitada de vendedores y de contratistas alternativos</t>
  </si>
  <si>
    <t>Disponibilidad limitada de vendedores o de contratistas</t>
  </si>
  <si>
    <t>Mala actitud de vendedores y de contratistas a la calidad, a la seguridad y al ambiente</t>
  </si>
  <si>
    <t>Mala actitud de vendedores y de contratistas a los cambios del alcance</t>
  </si>
  <si>
    <t>Falta de capacidad de vendedores y de contratistas de entregar el tiempo</t>
  </si>
  <si>
    <t>Proveedores</t>
  </si>
  <si>
    <t xml:space="preserve">Deficiente calidad y nivel de detalle de la especificación de equipos y de los contratos de construcción </t>
  </si>
  <si>
    <t>Complejidad de la manufactura, de la fabricación y montaje del equipo</t>
  </si>
  <si>
    <t>Inconveniencia del tipo de contrato para el alcance del trabajo y nivel de definición del alcance</t>
  </si>
  <si>
    <t>Complejidad de la manufactura, de la fabricación y del montaje del equipo</t>
  </si>
  <si>
    <t xml:space="preserve">Carencia de requerimientos asociados al Abastecimiento </t>
  </si>
  <si>
    <t>Falta de definición de características relacionadas al servicio para el equipamiento</t>
  </si>
  <si>
    <t>Complejidad del proceso del diseño del equipo</t>
  </si>
  <si>
    <t>Falta de madurez del diseño del equipamiento</t>
  </si>
  <si>
    <t>Falta de procesamiento de los resultados de las revisiones técnicas del diseño, de la constructibilidad, capacidad de mantenimiento.</t>
  </si>
  <si>
    <t>Efectos adversos debido a la inexactitud y mala calidad</t>
  </si>
  <si>
    <t>Excesivo nivel de ingeniería concurrente</t>
  </si>
  <si>
    <t>Peligros inherentes asociados a la instalación, equipos, comisionamiento, funcionamiento y mantención de la planta</t>
  </si>
  <si>
    <t>Mal manejo de aprobaciones de cambio sobre el alcance definido</t>
  </si>
  <si>
    <t>Falta de exactitud de requerimientos para la planta</t>
  </si>
  <si>
    <t>Desconocimiento del nivel de la nueva tecnología incorporada en el proyecto</t>
  </si>
  <si>
    <t>Insuficiente nivel de definiciones para el proyecto terminado</t>
  </si>
  <si>
    <t>Ingeniería</t>
  </si>
  <si>
    <t>Poca facilidad para capacitar y entrenar a personal</t>
  </si>
  <si>
    <t>Reducido número de los abastecedores de la tecnología disponibles</t>
  </si>
  <si>
    <t>Desconocimiento de la experiencia e historial del proveedor de la tecnología</t>
  </si>
  <si>
    <t>Poca escalabilidad de tecnología</t>
  </si>
  <si>
    <t>Mal manejo de la confiabilidad, operabilidad y capacidad de mantenimiento de la tecnología</t>
  </si>
  <si>
    <t>Indefinicipon de responsabilidad por patentes y licencias</t>
  </si>
  <si>
    <t>Mal manejo de requisitos de funcionamiento nuevos o estándar de calidad</t>
  </si>
  <si>
    <t>Falta de madurez de la tecnología y de la necesidad del desarrollo adicional</t>
  </si>
  <si>
    <t>Falta de disponibilidad de la experiencia técnica y de soporte</t>
  </si>
  <si>
    <t>No disponibilidad a tiempo de los componentes principales y de las piezas de repuesto</t>
  </si>
  <si>
    <t>Tecnología (planta y entrega del proyecto)</t>
  </si>
  <si>
    <t>Seguridad del sitio y entrada ilegal</t>
  </si>
  <si>
    <t>Problemas debido a seguridad de la comunidad o malestar civil</t>
  </si>
  <si>
    <t>Existencia de posible vandalismo</t>
  </si>
  <si>
    <t>Seguridad y niveles de protección</t>
  </si>
  <si>
    <t>Cambios e influencia estatutarios</t>
  </si>
  <si>
    <t>Prejuicios locales</t>
  </si>
  <si>
    <t>Términos y condiciones inadecuados</t>
  </si>
  <si>
    <t>Excesivas regulaciones corporativas propias y de licencias</t>
  </si>
  <si>
    <t>Conflictos del interés</t>
  </si>
  <si>
    <t>No aplicación del proceso de aprobación</t>
  </si>
  <si>
    <t>Legal/Regulatorio</t>
  </si>
  <si>
    <t>Incapacidad de replantear cambios en las horas acordadas debido a acontecimientos naturales</t>
  </si>
  <si>
    <t>Incapacidad de proporcionar coberturas sobre acontecimientos naturales</t>
  </si>
  <si>
    <t>Erupción volcánica, fuego o infestación por los bichos</t>
  </si>
  <si>
    <t>Daño por vientos extremos (huracanes, tornados, ciclones o monzones)</t>
  </si>
  <si>
    <t>Daño por temblores, terremotos o hundimiento</t>
  </si>
  <si>
    <t>Precipitación extrema (lluvia,  que congela, nieve o el granizo)</t>
  </si>
  <si>
    <t>Daño producto de frío, calor o humedad extrema</t>
  </si>
  <si>
    <t>Acontecimientos Naturales</t>
  </si>
  <si>
    <t>Daños y retrasos por inestabilidad política/social (malestar, alborotos)</t>
  </si>
  <si>
    <t>Retiro de aprobaciones o permisos</t>
  </si>
  <si>
    <t>Deficiente manejo de las relaciones públicas</t>
  </si>
  <si>
    <t>Existencia de grupos de presión</t>
  </si>
  <si>
    <t>Endoso o intervención del gobierno</t>
  </si>
  <si>
    <t>Apremios del gobierno durante la construcción y la operación</t>
  </si>
  <si>
    <t>Expropiación</t>
  </si>
  <si>
    <t>Aplicabilidad de los contratos de gobierno</t>
  </si>
  <si>
    <t>Devaluación de la moneda</t>
  </si>
  <si>
    <t>Relación y soporte con las comunidades</t>
  </si>
  <si>
    <t>Cambios al régimen de impuestos/royalty</t>
  </si>
  <si>
    <t>Política/Social</t>
  </si>
  <si>
    <t>Modificación sobre los procedimientos de operaciones</t>
  </si>
  <si>
    <t>Modificación en el régimen de impuestos</t>
  </si>
  <si>
    <t>Cambios en los costos de producción</t>
  </si>
  <si>
    <t>Problemas debido a malas relaciones entre los inversionistas</t>
  </si>
  <si>
    <t>Modificación sobre las tarifas y precios</t>
  </si>
  <si>
    <t>Cambios en los precios de energías</t>
  </si>
  <si>
    <t>Económicos y Financieros</t>
  </si>
  <si>
    <t>Derramamiento líquido en emplazamiento de la obra</t>
  </si>
  <si>
    <t>Aumento de costos por concepto de instalaciones, transporte, servicios médicos u otros</t>
  </si>
  <si>
    <t>Proyectos en competencia que puedan elevar los costes del material</t>
  </si>
  <si>
    <t>Factores Externos</t>
  </si>
  <si>
    <t>Establecimiento de Comisión sobre modificaciones (cambios al equipo)</t>
  </si>
  <si>
    <t>Excesivo rediseño de procesos</t>
  </si>
  <si>
    <t>Cambios legislativos que afectan el diseño de planta - no accesible</t>
  </si>
  <si>
    <t>Mal desempeño de vendors</t>
  </si>
  <si>
    <t>Insolvencia del contratista de la construcción</t>
  </si>
  <si>
    <t>Mal desempeño del contratista de la construcción</t>
  </si>
  <si>
    <t>Análisis del mercado de trabajo - impacto de la demanda para el trabajo escaso</t>
  </si>
  <si>
    <t>Posibles aumentos en el precio de la mano de obra por posibles proyectos competidores</t>
  </si>
  <si>
    <t>Posibles retrasos en las aprobaciones o bien no contar con ellas</t>
  </si>
  <si>
    <t>Indisponibilidad de mano de obra y capacidad de ingeniería</t>
  </si>
  <si>
    <t>Restricciones en los posibles accesos que provoquen una alta tasa de atrasos</t>
  </si>
  <si>
    <t>Seguridad en las instalación que provoquen perdida de tiempo en construcción y productividad</t>
  </si>
  <si>
    <t>Daño y retrasos por huelgas y consecuencias de huelgas</t>
  </si>
  <si>
    <t>Demandas sobre posibles incentivos</t>
  </si>
  <si>
    <t>Demandas Contractuales</t>
  </si>
  <si>
    <t>Deficiente implementación de un sistema de control de documentos en la obra, los contratistas terminan recibiendo datos incorrectos  o tardíos</t>
  </si>
  <si>
    <t>Carencia del espacio para el emplazamiento de la obra</t>
  </si>
  <si>
    <t xml:space="preserve">Problemas en las estimaciones </t>
  </si>
  <si>
    <t>Excesivo uso de horas extras</t>
  </si>
  <si>
    <t>Alto Índice De Accidentes</t>
  </si>
  <si>
    <t>Retraso en la recepción de artículos críticos</t>
  </si>
  <si>
    <t>Mala calidad de los recursos de la gerencia de proyecto</t>
  </si>
  <si>
    <t>Interferencia entre construcción y Operaciones</t>
  </si>
  <si>
    <t>Problemas de relaciones laborales en la construcción</t>
  </si>
  <si>
    <t>De organización</t>
  </si>
  <si>
    <t xml:space="preserve">Falta de alineamiento de los principales grupos de interés </t>
  </si>
  <si>
    <t>Poca funcionalidad de la organización del proyecto y deficiente definición de roles y responsabilidades</t>
  </si>
  <si>
    <t>Carencia de la gente con el conocimiento para programar los sistemas de control</t>
  </si>
  <si>
    <t>Alejamiento de zonas de fumadores - pérdida de productividad</t>
  </si>
  <si>
    <t>Insuficientes instalaciones para los trabajadores en ciudad</t>
  </si>
  <si>
    <t>Congestión del sitio - propicio para incidente de seguridad</t>
  </si>
  <si>
    <t>Elevado Número de interfaces con las instalaciones de existentes</t>
  </si>
  <si>
    <t>Equipo de transporte inusual o restringido o condiciones de acceso a la faena</t>
  </si>
  <si>
    <t>Excesivo número de regulaciones</t>
  </si>
  <si>
    <t>Temas o problemas ambientales, sociales o de seguridad que sean sensibles</t>
  </si>
  <si>
    <t>Existencia de aspectos políticos, económicos o financieros inusuales</t>
  </si>
  <si>
    <t>Estrategia inusual de la entrega del proyecto. Mala definición del proceso.</t>
  </si>
  <si>
    <t>no</t>
  </si>
  <si>
    <t>Arreglos legales o contractuales inusuales</t>
  </si>
  <si>
    <t>Falta de capacidad y conocimiento para el uso de tecnología de alto nivel</t>
  </si>
  <si>
    <t>Númer excesivo de niveles en la organización usando entregables del proyecto</t>
  </si>
  <si>
    <t>Excesiva cantidad de usuarios usando el producto del proyecto</t>
  </si>
  <si>
    <t>Tamaño, organización o composición inusual del equipo del proyecto</t>
  </si>
  <si>
    <t>General</t>
  </si>
  <si>
    <t>Prioridad</t>
  </si>
  <si>
    <t>Clasificación</t>
  </si>
  <si>
    <t>PxC</t>
  </si>
  <si>
    <t>Consecuencia</t>
  </si>
  <si>
    <t>Probabilidad</t>
  </si>
  <si>
    <t>Lista de comprobación de los riesgos genéricos en proyectos</t>
  </si>
  <si>
    <t>Ingenieria y Construcción</t>
  </si>
  <si>
    <t>Proyecto ACB Minera Valle Central</t>
  </si>
  <si>
    <t>EPC Proyecto ACB</t>
  </si>
  <si>
    <t>Conpax - Shimin</t>
  </si>
  <si>
    <t>ingenieria</t>
  </si>
  <si>
    <t>construcción</t>
  </si>
  <si>
    <t>ingenieria y contrucción</t>
  </si>
  <si>
    <t>Ingenieria Perfil</t>
  </si>
  <si>
    <t>Prefactibilidad SRE</t>
  </si>
  <si>
    <t>Ocurrencia</t>
  </si>
  <si>
    <t>Severidad</t>
  </si>
  <si>
    <t>Pérdida</t>
  </si>
  <si>
    <t>hr</t>
  </si>
  <si>
    <t>dia</t>
  </si>
  <si>
    <t>vez</t>
  </si>
  <si>
    <t>veces</t>
  </si>
  <si>
    <t>Unidad</t>
  </si>
  <si>
    <t>Cantidad</t>
  </si>
  <si>
    <t>Plazo</t>
  </si>
  <si>
    <t>Costo</t>
  </si>
  <si>
    <t>Impacto</t>
  </si>
  <si>
    <t>Veces</t>
  </si>
  <si>
    <t>Plazo (horas)</t>
  </si>
  <si>
    <t>Costo (USD$)</t>
  </si>
  <si>
    <t>Ingeniero Senior</t>
  </si>
  <si>
    <t>Gerente</t>
  </si>
  <si>
    <t>Ingeniero A</t>
  </si>
  <si>
    <t>Ingeniero B</t>
  </si>
  <si>
    <t>Ingeniero C</t>
  </si>
  <si>
    <t>Proyectista</t>
  </si>
  <si>
    <t>Costos HH (UF)</t>
  </si>
  <si>
    <t>Valor UF</t>
  </si>
  <si>
    <t>Valor dólar</t>
  </si>
  <si>
    <t>Costos HH ($)</t>
  </si>
  <si>
    <t>Costos HH (USD$)</t>
  </si>
  <si>
    <t>Suposición 9 horas de atraso corresponden a un dia</t>
  </si>
  <si>
    <t>Inicial</t>
  </si>
  <si>
    <t>Entradas</t>
  </si>
  <si>
    <t>Salidas</t>
  </si>
  <si>
    <t>Neto</t>
  </si>
  <si>
    <t>Carlita</t>
  </si>
  <si>
    <t>Gasto mensual</t>
  </si>
  <si>
    <t>UK</t>
  </si>
  <si>
    <t>Dividendo Santiago</t>
  </si>
  <si>
    <t>Sueldo</t>
  </si>
  <si>
    <t>Deptos</t>
  </si>
  <si>
    <t>Compra Depto Santiago</t>
  </si>
  <si>
    <t>panoramic</t>
  </si>
  <si>
    <t>kennedy</t>
  </si>
  <si>
    <t>Cambio Pega</t>
  </si>
  <si>
    <t>Abastecimientos</t>
  </si>
  <si>
    <t>Técnicas</t>
  </si>
  <si>
    <t>Constructibilidad</t>
  </si>
  <si>
    <t>Gestión</t>
  </si>
  <si>
    <t>Excesivas iteraciones con Abastecimientos.</t>
  </si>
  <si>
    <t>TOTAL</t>
  </si>
  <si>
    <t>Personal propio</t>
  </si>
  <si>
    <t>Personal contratista</t>
  </si>
  <si>
    <t>Plazo (dias corridos)</t>
  </si>
  <si>
    <t>Personal no forma parte de la etapa de construcción</t>
  </si>
  <si>
    <t>Proponente compromete plazos poco reales</t>
  </si>
  <si>
    <t>Proponente subestima los aspectos de SSO</t>
  </si>
  <si>
    <t>Exceso de documentación en proceso licitación</t>
  </si>
  <si>
    <t>Pocas visitas a terreno, quedan interferencias sin detectar.</t>
  </si>
  <si>
    <t>Exceso de entregables que no aportan al proyecto.</t>
  </si>
  <si>
    <t>Se incorpora a ITO tarde en el proyecto.</t>
  </si>
  <si>
    <t>Administrativos y Gestión</t>
  </si>
  <si>
    <t>Excesivo documenación de seguridad y procedimientos de trabajo</t>
  </si>
  <si>
    <t>Interferencias con áreas operaciones, mantención.</t>
  </si>
  <si>
    <t>Inconveniente servicios de apoyo al contratista (cliente)</t>
  </si>
  <si>
    <t>Problemas con los servicios (contratista)</t>
  </si>
  <si>
    <t xml:space="preserve">Estudio Geotecnia SRE. </t>
  </si>
  <si>
    <t>Disponibiliad de terrenos, infraestructura y botaderos</t>
  </si>
  <si>
    <t>Porcentaje</t>
  </si>
  <si>
    <t>Fluor</t>
  </si>
  <si>
    <t>Reemplazo Reemplazo Puente Grúa</t>
  </si>
  <si>
    <t>Bajo involucramiento del cliente final (usuario)</t>
  </si>
  <si>
    <t>No se encuentra bien acotado el alcance del servicio</t>
  </si>
  <si>
    <t xml:space="preserve">Experiencia y calificación del personal </t>
  </si>
  <si>
    <t>Apoyo de la plana ejecutiva de la organización</t>
  </si>
  <si>
    <t>No uso metodologia formal administración proyectos</t>
  </si>
  <si>
    <t>Mala gestión de los requerimientos del proyecto</t>
  </si>
  <si>
    <t>Mala estimación costos de construcción.</t>
  </si>
  <si>
    <t>Deficiencia gestión de adquisiciones (seguimiento)</t>
  </si>
  <si>
    <t>DISCIPLINA</t>
  </si>
  <si>
    <t>ITEM</t>
  </si>
  <si>
    <t>DESCRIPCION</t>
  </si>
  <si>
    <t>UN</t>
  </si>
  <si>
    <t>CANT</t>
  </si>
  <si>
    <t>P.U. (Util.)</t>
  </si>
  <si>
    <t>.</t>
  </si>
  <si>
    <t>INSTALACION DE FAENAS Y MANEJO DEL SITIO</t>
  </si>
  <si>
    <t>GENERAL</t>
  </si>
  <si>
    <t>1.1</t>
  </si>
  <si>
    <t>Instalaciones de Faena y Manejo de Sitio</t>
  </si>
  <si>
    <t>meses</t>
  </si>
  <si>
    <t>Acreditación del peronal y apoyo oficina técnica</t>
  </si>
  <si>
    <t>gl</t>
  </si>
  <si>
    <t xml:space="preserve">      OBRAS CIVILES</t>
  </si>
  <si>
    <t>CIVIL</t>
  </si>
  <si>
    <t>2.1</t>
  </si>
  <si>
    <t>Demolición de fundaciones y pretil de contencion de derrames  de bombas de ácido</t>
  </si>
  <si>
    <t>m3</t>
  </si>
  <si>
    <t>2.2</t>
  </si>
  <si>
    <t>Demolición radier sala de tableros y estanques de arena</t>
  </si>
  <si>
    <t>2.3</t>
  </si>
  <si>
    <t xml:space="preserve">Demolición soportes para cañerias varias </t>
  </si>
  <si>
    <t>2.4</t>
  </si>
  <si>
    <t>Retiro de escombros y transporte a botadero CMRIS</t>
  </si>
  <si>
    <t>2.5</t>
  </si>
  <si>
    <t xml:space="preserve">Excavación </t>
  </si>
  <si>
    <t>2.6</t>
  </si>
  <si>
    <t>Relleno Estructural</t>
  </si>
  <si>
    <t>2.7</t>
  </si>
  <si>
    <t>Suministro y colocación de armaduras</t>
  </si>
  <si>
    <t>kg</t>
  </si>
  <si>
    <t>Suministro y colocación hormigon fundaciones (G-30)</t>
  </si>
  <si>
    <t>Suministro y colocación hormigon fundaciones (G-10)</t>
  </si>
  <si>
    <t>Suministro y colocación Estabilizado Compactado (camino)</t>
  </si>
  <si>
    <t xml:space="preserve">Suministro y colocación Hormigon FH 4.5  (Similar G-30, camino) </t>
  </si>
  <si>
    <t xml:space="preserve">      ESTRUCTURAS METALICAS (ESTRUCTURA TECHO)</t>
  </si>
  <si>
    <t>ESTRUCTURAS</t>
  </si>
  <si>
    <t>3.1</t>
  </si>
  <si>
    <t>3.2</t>
  </si>
  <si>
    <t>Suminstro y fabricacion de estructura de acero mediana</t>
  </si>
  <si>
    <t>3.3</t>
  </si>
  <si>
    <t>Suminstro y fabricacion de estructura de acero liviana</t>
  </si>
  <si>
    <t>3.4</t>
  </si>
  <si>
    <t xml:space="preserve">Montaje estructura Mediana </t>
  </si>
  <si>
    <t xml:space="preserve">Montaje Estructura Liviana </t>
  </si>
  <si>
    <t>Suministro e Instalación de cubierta de techo</t>
  </si>
  <si>
    <t>m2</t>
  </si>
  <si>
    <t>Suministro y Montaje parrilla de piso (Escalera acceso a estanque 35 m3)</t>
  </si>
  <si>
    <t>Suministro y Montaje canaleta prefabricada (Canaleta de Piso)</t>
  </si>
  <si>
    <t>Suministro y Montaje plancha de piso diamantada  (acceso a contenedor)</t>
  </si>
  <si>
    <t xml:space="preserve">      EQUIPOS MECANICOS</t>
  </si>
  <si>
    <t>MECANICA</t>
  </si>
  <si>
    <t>4.1</t>
  </si>
  <si>
    <t>Montaje Estanque Flocodecantador Tag:0000-FTR-001</t>
  </si>
  <si>
    <t>c/u</t>
  </si>
  <si>
    <t>4.2</t>
  </si>
  <si>
    <t>Montaje Estanque Filtro floculador Tag:0000-FTR-002/003</t>
  </si>
  <si>
    <t>4.3</t>
  </si>
  <si>
    <t>Montaje Estanque Ablandador Tag:0000-FTR-004/005</t>
  </si>
  <si>
    <t>4.4</t>
  </si>
  <si>
    <t xml:space="preserve">Montaje Estanque de Agua Filtrada Tag:0000-EST-001 </t>
  </si>
  <si>
    <t>4.5</t>
  </si>
  <si>
    <t>Montaje Estanque de Salmuera Tag:0000-EST-002</t>
  </si>
  <si>
    <t>4.6</t>
  </si>
  <si>
    <t xml:space="preserve">Montaje de Contenedor de 20'. </t>
  </si>
  <si>
    <t>4.7</t>
  </si>
  <si>
    <t>Retiro y traslado  de Filtro existente - costado torre enfriamiento</t>
  </si>
  <si>
    <t>4.8</t>
  </si>
  <si>
    <t>Montaje de Filtro Azzut, Bomba, cañerias y conexionado electrico e Inst.</t>
  </si>
  <si>
    <t>Suministro de Filtro Azzut, Bomba, cañerias y conexionado electrico e Inst.</t>
  </si>
  <si>
    <t xml:space="preserve">      SUMINISTRO Y MONTAJE CAÑERIAS, VALVULAS Y ACCESORIOS</t>
  </si>
  <si>
    <t>PIPING</t>
  </si>
  <si>
    <t>Suministro y Montaje de cañerías de sistemas de conducción de agua de 2''</t>
  </si>
  <si>
    <t>m</t>
  </si>
  <si>
    <t>Suministro y  Montaje de cañerías de sistemas de conducción de agua de 3''</t>
  </si>
  <si>
    <t>Suministro y  Montaje de cañerías de sistemas de conducción de agua de 4''</t>
  </si>
  <si>
    <t>Suministro y  Montaje de cañerías de sistemas de conducción de agua de 6''</t>
  </si>
  <si>
    <t>Suministro y montaje de válvulas de Bola manual de 1/2'' en líneas de conducción de agua</t>
  </si>
  <si>
    <t>Suministro y montaje de válvulas de Bola manual de 2'' en líneas de conducción de agua</t>
  </si>
  <si>
    <t>Suministro y montaje de válvulas de Bola  manual de 4'' en líneas de conducción de agua</t>
  </si>
  <si>
    <t>Suministro y montaje de válvulas de bola on/off (con actuador electrico) de 4'' en líneas de conducción de agua</t>
  </si>
  <si>
    <t>Suministro y montaje valvula reguladora de flujo 4" (controlada)</t>
  </si>
  <si>
    <t>Suministro y montaje soportes metálicos para cañerías tipo escuadra SP-C02</t>
  </si>
  <si>
    <t>Suministro y montaje soportes metálicos para cañerías tipo placa base SP-PB01</t>
  </si>
  <si>
    <t>Suministro y montaje soportes metálicos para cañerías tipo puntal o T  SP-P04</t>
  </si>
  <si>
    <t>Suministro y montaje soportes metálicos para cañerías tipo zapata  SP-Z01</t>
  </si>
  <si>
    <t>Suministo y montaje de Heat Tracing exterior planta</t>
  </si>
  <si>
    <t>Montaje de Heat Tracing interior planta</t>
  </si>
  <si>
    <t>Montaje de Vávulas Manuales de 3/4".  HV-01, HV-02, HV-04, HV-05, HV-06, HV-07, HV-08, HV-09, HV-10, HV-11, HV-12, HV-13, HV-14, HV-15, HV-21, HV-22.</t>
  </si>
  <si>
    <t>Montaje de Vávulas Manuales de 4".  HV-17, HV-18, HV-19, HV-20.</t>
  </si>
  <si>
    <t>Montaje de Vávulas Manuales de 1/2".  HV-16.</t>
  </si>
  <si>
    <t>Montaje de Vávulas Manuales de 1".  HV-03</t>
  </si>
  <si>
    <t>Montaje de Cañerías de 3" AC</t>
  </si>
  <si>
    <t>Montaje de Cañerías de 4" AC</t>
  </si>
  <si>
    <t>Montaje de Cañerías de 1 1/2 " AC</t>
  </si>
  <si>
    <t>Montaje de Valvulas Actuadas de 1 1/2"</t>
  </si>
  <si>
    <t>Montaje de Valvulas Actuadas de 2"</t>
  </si>
  <si>
    <t>Montaje de Valvulas Actuadas de 3"</t>
  </si>
  <si>
    <t>Montaje de Valvulas Actuadas de 4"</t>
  </si>
  <si>
    <t xml:space="preserve">      OBRAS ELECTRICAS</t>
  </si>
  <si>
    <t>ELECTRIC.</t>
  </si>
  <si>
    <t xml:space="preserve">Conexión Cable de alimentación Planta de agua EcoSystem a CCM 0100-CCM-01 </t>
  </si>
  <si>
    <t>Conexión Cable a Tablero fuerza planta EcoSystem (TDFYC FILTROS)</t>
  </si>
  <si>
    <t>Suministro e Instalación de enchufe 0000-WRL-002</t>
  </si>
  <si>
    <t>Montaje Cable de fuerza  1x3c N° 8 AWG, clase 600 V, tipo XTCC.</t>
  </si>
  <si>
    <t>Suministro Cable de fuerza  1x3c N° 8 AWG, clase 600 V, tipo XTCC.</t>
  </si>
  <si>
    <t>Conexión Tablero fuerza sala eléctrica exitente a tablero de iluminación  Planta  de agua Ecosystem</t>
  </si>
  <si>
    <t>Suministro Cable de fuerza 1x3c N° 8 AWG, clase 600 V, tipo XTCC. (Iluminación)</t>
  </si>
  <si>
    <t>Montaje Cable de fuerza 1x3c N° 8 AWG, clase 600 V, tipo XTCC. (Iluminación)</t>
  </si>
  <si>
    <t>Suministro y montaje  tablero de iluminación en planta de agua Ecosystem</t>
  </si>
  <si>
    <t>Suministro y montaje de Luminarias</t>
  </si>
  <si>
    <t>Suministro y montaje Cable de iluminación 1x1c N° 12 AWG, clase 600 V, tipo THHN. FASE (AZUL-NEGRO o rojo)</t>
  </si>
  <si>
    <t>Suministro y montaje Cable de iluminación 1x1c N° 12 AWG, clase 600 V, tipo THHN. neutro (blanco)</t>
  </si>
  <si>
    <t>Suministro y montaje Cable de iluminación 1x1c N° 12 AWG, clase 600 V, tipo THHN. tierra(verde)</t>
  </si>
  <si>
    <t xml:space="preserve">Suministro y montaje conduit canalizacion  de iluminación  </t>
  </si>
  <si>
    <t>Suministro y montaje Cajas de conexión de luminarias</t>
  </si>
  <si>
    <t>Suministro e instalación de chicotes de malla a tierra 2/0 AWG</t>
  </si>
  <si>
    <t>Montaje de escalerilla portaconductores de 300x100 mm</t>
  </si>
  <si>
    <t xml:space="preserve">      INSTRUMENTACION</t>
  </si>
  <si>
    <t>INSTRUM.</t>
  </si>
  <si>
    <t>Suministro y montaje Manómetro con sello de diafragma</t>
  </si>
  <si>
    <t>Suministro y Montaje Transmisor de presión con sello de diafragma</t>
  </si>
  <si>
    <t>Suministro y Montaje Transmisor de Nivel tipo ultrasónico</t>
  </si>
  <si>
    <t>Suministro y Montaje Transmisor de flujo tipo Magnético</t>
  </si>
  <si>
    <t>Suministro y Montaje Conversores de medio PROFIBUS DP, de cobre a fibra óptica multimodo</t>
  </si>
  <si>
    <t>Suministro y montaje de fuente de poder 120VAC/24VDC, 1A, montaje a riel DIN</t>
  </si>
  <si>
    <t>Suministro y montaje de caja de conexiones con 30 borneras, NEMA 4X</t>
  </si>
  <si>
    <t>Suministro y montaje de cabecera óptica de 12 hilos para montaje en rack de 19"</t>
  </si>
  <si>
    <t>Suministro y montaje de caja de empalme de fibra óptica de 12 filamentos, NEMA 4X</t>
  </si>
  <si>
    <t xml:space="preserve">Suministro y montaje Conduit  Ac. Galvanizado  Ø 3/4" </t>
  </si>
  <si>
    <t xml:space="preserve">Suministro y montaje Conduit flexible Acero Galvanizado  Cubierta PVC Ø 3/4" </t>
  </si>
  <si>
    <t xml:space="preserve">Suministro y montaje Conduit  Ac. Galvanizado  Ø 1" </t>
  </si>
  <si>
    <t xml:space="preserve">Suministro y montaje Conduit flexible Acero Galvanizado  Cubierta PVC Ø 1" </t>
  </si>
  <si>
    <t>Suministro y montaje Cable de Instrumentación 1x1p trenzado N° 18 AWG, Apantallado, 300 V</t>
  </si>
  <si>
    <t>Suministro y montaje Cable de Instrumentación 1x8p trenzado N° 20 AWG, Apantallado, 300 V</t>
  </si>
  <si>
    <t>Suministro y montaje Cable de Control  1x7c N° 16 AWG, 300 V.</t>
  </si>
  <si>
    <t>Suministro y montaje Cable de Control  1x12c N° 16 AWG, 300 V.</t>
  </si>
  <si>
    <t>Suministro y montaje Cable de Fuerza  1x3c N° 14 AWG, 600 V.</t>
  </si>
  <si>
    <t>Suministro y montaje Cable de Fuerza  1x4c N° 12 AWG, 600 V.</t>
  </si>
  <si>
    <t>Suministro y montaje Cable de comunicación Profibus DP N° 22 AWG</t>
  </si>
  <si>
    <t>Suministro y montaje Cable fibra óptica multimodo 12 hilos</t>
  </si>
  <si>
    <t>Montaje Cable de Control  1x7c N° 16 AWG, 300 V.</t>
  </si>
  <si>
    <t>Montaje Cable de Control  1x5c N° 16 AWG, 300 V.</t>
  </si>
  <si>
    <t>Montaje Cable de Control  1x3c N° 16 AWG, 300 V.</t>
  </si>
  <si>
    <t>Montaje Cable de Instrumentación 1x1p trenzado N° 18 AWG, Apantallado, 300 V</t>
  </si>
  <si>
    <t>Montaje Cable de Fuerza  1x3c N° 14 AWG, 600 V.</t>
  </si>
  <si>
    <t xml:space="preserve">Montaje Conduit  Ac. Galvanizado  Ø 1/2" </t>
  </si>
  <si>
    <t>Montaje de Manometro</t>
  </si>
  <si>
    <t>Montaje de flujometro magnético</t>
  </si>
  <si>
    <t>Montaje de analizador de dureza</t>
  </si>
  <si>
    <t>Montaje de interruptor de presión diferencial</t>
  </si>
  <si>
    <t>Montaje de Interruptor de nivel</t>
  </si>
  <si>
    <t>Montaje de Transmisor de nivel</t>
  </si>
  <si>
    <t>PEM</t>
  </si>
  <si>
    <t xml:space="preserve">      COMISIONAMINETO Y PUESTA EN MARCHA</t>
  </si>
  <si>
    <t>Comisionamiento y puesta en marcha</t>
  </si>
  <si>
    <t>HH</t>
  </si>
  <si>
    <t>TOTAL COSTO DIRECTO (Incluye utilidades)</t>
  </si>
  <si>
    <t>GASTOS GENERALES</t>
  </si>
  <si>
    <t xml:space="preserve">TOTAL OFERTA </t>
  </si>
  <si>
    <t>Optimista</t>
  </si>
  <si>
    <t>Probable</t>
  </si>
  <si>
    <t>Pesismista</t>
  </si>
  <si>
    <t>Segman</t>
  </si>
  <si>
    <t>Echeverria Izquierdo</t>
  </si>
  <si>
    <t>Obras Civiles Puentes Grúa</t>
  </si>
  <si>
    <t>Estructura y Obras Eléctricas</t>
  </si>
  <si>
    <t>Sigdo Kopper</t>
  </si>
  <si>
    <t>Baja productividad en relacion a lo programado / deficienicia capacidatcion mano obra</t>
  </si>
  <si>
    <t>Hallazgo de infraestructura, rocas o suelos no deseados(recursiva)</t>
  </si>
  <si>
    <t>Frecuencia</t>
  </si>
  <si>
    <t>MR</t>
  </si>
  <si>
    <t>RF</t>
  </si>
  <si>
    <t>Etapa</t>
  </si>
  <si>
    <t>Tipo</t>
  </si>
  <si>
    <t>Preparación antecedentes licitación</t>
  </si>
  <si>
    <t>M x P</t>
  </si>
  <si>
    <t>Demora llegada suministros equipos principales</t>
  </si>
  <si>
    <t>Problemas con la adquisición suministros de obra.</t>
  </si>
  <si>
    <t>Retraso aprobación de ordenes de cambio</t>
  </si>
  <si>
    <t>Exceso de reuniones corporativas empresa</t>
  </si>
  <si>
    <t>Descripción</t>
  </si>
  <si>
    <t>Ponderación Base Datos</t>
  </si>
  <si>
    <t>FR = 1/9</t>
  </si>
  <si>
    <t>Resumen</t>
  </si>
  <si>
    <t>Costo Plazo</t>
  </si>
  <si>
    <t>FEL 1</t>
  </si>
  <si>
    <t>FEL 2</t>
  </si>
  <si>
    <t>FEL 3</t>
  </si>
  <si>
    <t>EPC</t>
  </si>
  <si>
    <t>Inversión</t>
  </si>
  <si>
    <t>Duración</t>
  </si>
  <si>
    <t>Duración (mes)</t>
  </si>
  <si>
    <t>Metodologia Portones</t>
  </si>
  <si>
    <t>Base Datos</t>
  </si>
  <si>
    <t>Ingenieria Perfil Torre Absorción</t>
  </si>
  <si>
    <t>Ingenieria Prefactibilidad</t>
  </si>
  <si>
    <t>Ingenieria Perfil Puente Grúa</t>
  </si>
  <si>
    <t>Ingenieria Basica ACB</t>
  </si>
  <si>
    <t>Poca agilidad/atribución toma definiciones claves</t>
  </si>
  <si>
    <t>Poca toma de decisión en terreno</t>
  </si>
  <si>
    <t>Cuakitativo</t>
  </si>
  <si>
    <t>Cuantitativo</t>
  </si>
  <si>
    <t>Magnitud</t>
  </si>
  <si>
    <t>Dia 0</t>
  </si>
  <si>
    <t>Total</t>
  </si>
  <si>
    <t>horas</t>
  </si>
  <si>
    <t>perdida</t>
  </si>
  <si>
    <t>Dia 25</t>
  </si>
  <si>
    <t>Dia 50</t>
  </si>
  <si>
    <t>Dias 75</t>
  </si>
  <si>
    <t>horas total</t>
  </si>
  <si>
    <t>LICITACION INGENIERIA</t>
  </si>
  <si>
    <t>INGENIERIA</t>
  </si>
  <si>
    <t>LICITACION CONSTRUCCIÓN</t>
  </si>
  <si>
    <t>Plazo (dia)</t>
  </si>
  <si>
    <t>Publicación, consultas y respuestas</t>
  </si>
  <si>
    <t>Evaluacíón y adjudicación</t>
  </si>
  <si>
    <t>1.2</t>
  </si>
  <si>
    <t>1.3</t>
  </si>
  <si>
    <t>1.4</t>
  </si>
  <si>
    <t>Levantamiento de terreno</t>
  </si>
  <si>
    <t>Recopilación antecedentes y acreditación personal</t>
  </si>
  <si>
    <t>Ingenieria civil-estucural</t>
  </si>
  <si>
    <t>Ingenieria mecánica-piping</t>
  </si>
  <si>
    <t>Ingenieria eléctrica-instrumentación</t>
  </si>
  <si>
    <t>Bases técnicas construcción y presupuestos</t>
  </si>
  <si>
    <t>Definición proceso y layout mecánico</t>
  </si>
  <si>
    <t>Preparación y Recepción ofertas</t>
  </si>
  <si>
    <t>hh</t>
  </si>
  <si>
    <t>CONSTRUCCIÓN</t>
  </si>
  <si>
    <t>4.1.1</t>
  </si>
  <si>
    <t>4.1.2</t>
  </si>
  <si>
    <t>4.2.1</t>
  </si>
  <si>
    <t>4.2.2</t>
  </si>
  <si>
    <t>4.2.3</t>
  </si>
  <si>
    <t>4.2.4</t>
  </si>
  <si>
    <t>4.2.5</t>
  </si>
  <si>
    <t>4.2.6</t>
  </si>
  <si>
    <t>4.2.7</t>
  </si>
  <si>
    <t>4.2.8</t>
  </si>
  <si>
    <t>4.2.9</t>
  </si>
  <si>
    <t>4.2.10</t>
  </si>
  <si>
    <t>4.2.11</t>
  </si>
  <si>
    <t>4.3.1</t>
  </si>
  <si>
    <t>4.3.2</t>
  </si>
  <si>
    <t>4.3.3</t>
  </si>
  <si>
    <t>4.3.4</t>
  </si>
  <si>
    <t>4.3.5</t>
  </si>
  <si>
    <t>4.3.6</t>
  </si>
  <si>
    <t>4.3.7</t>
  </si>
  <si>
    <t>4.3.8</t>
  </si>
  <si>
    <t>INICIO</t>
  </si>
  <si>
    <t>AVANCE 25%</t>
  </si>
  <si>
    <t>AVANCE 50%</t>
  </si>
  <si>
    <t>AVANCE 75%</t>
  </si>
  <si>
    <t>ESTRUCTURA</t>
  </si>
  <si>
    <t>ELECTRICA</t>
  </si>
  <si>
    <t>INSTRUMEN</t>
  </si>
  <si>
    <t>Montaje de válvulas reguladora de presión (con actuador electrico) de 4'' en líneas de conducción de agua.</t>
  </si>
  <si>
    <t>Suministro y montaje soportes metálicos para cañerías tipo marco o banquillo invertido SP-C03</t>
  </si>
  <si>
    <t>Suministro y montaje soportes metálicos para cañerías guía transversal zapata en viga SP-G06</t>
  </si>
  <si>
    <t>Suministro y montaje soportes metálicos para cañerías tipo marco o banquillo vertical SP-C04</t>
  </si>
  <si>
    <t>Montaje soportes interior Planta</t>
  </si>
  <si>
    <t>Conexión de Puesta a Tierra  planta tratamiento agua  (TDFYC FILTROS)</t>
  </si>
  <si>
    <t>Suministro y montaje escalerilla portaconductores</t>
  </si>
  <si>
    <t>Suministro y montaje Cable de Instrumentación 1x2p trenzado N° 20 AWG, Apantallado, 300 V</t>
  </si>
  <si>
    <t>Suministro y montaje Conduit de PVC schedule 80, 2"  Ø</t>
  </si>
  <si>
    <t>Suministro y montaje Cable de Control  1x3c N° 16 AWG, 300 V.</t>
  </si>
  <si>
    <t>Opt.</t>
  </si>
  <si>
    <t>Prob.</t>
  </si>
  <si>
    <t>Pesis.</t>
  </si>
  <si>
    <t>Variación ADM MVC</t>
  </si>
  <si>
    <t>Variación</t>
  </si>
  <si>
    <t>Equipos Mecánicos</t>
  </si>
  <si>
    <t>Piping</t>
  </si>
  <si>
    <t>Estructuras</t>
  </si>
  <si>
    <t>OOCC</t>
  </si>
  <si>
    <t>Movimiento Tierra</t>
  </si>
  <si>
    <t>Eléctrico</t>
  </si>
  <si>
    <t>Globales</t>
  </si>
  <si>
    <t>Indirectos</t>
  </si>
  <si>
    <t>Variación Cantidades</t>
  </si>
  <si>
    <t>Mínimo</t>
  </si>
  <si>
    <t>Máximo</t>
  </si>
  <si>
    <t>Variación Precios Suministros</t>
  </si>
  <si>
    <t>Variación Precios Montaje</t>
  </si>
  <si>
    <t>Por disciplina</t>
  </si>
  <si>
    <t>Costo total</t>
  </si>
  <si>
    <t>Juicio Expertos</t>
  </si>
  <si>
    <t>Minimo</t>
  </si>
  <si>
    <t>AVANCE 90%</t>
  </si>
  <si>
    <t>4.3.9</t>
  </si>
  <si>
    <t>4.4.1</t>
  </si>
  <si>
    <t>4.4.2</t>
  </si>
  <si>
    <t>4.4.3</t>
  </si>
  <si>
    <t>4.4.4</t>
  </si>
  <si>
    <t>4.4.5</t>
  </si>
  <si>
    <t>4.4.6</t>
  </si>
  <si>
    <t>4.4.7</t>
  </si>
  <si>
    <t>4.4.8</t>
  </si>
  <si>
    <t>4.4.9</t>
  </si>
  <si>
    <t>4.4.10</t>
  </si>
  <si>
    <t>4.4.11</t>
  </si>
  <si>
    <t>4.4.12</t>
  </si>
  <si>
    <t>4.4.13</t>
  </si>
  <si>
    <t>4.4.14</t>
  </si>
  <si>
    <t>4.4.15</t>
  </si>
  <si>
    <t>4.4.16</t>
  </si>
  <si>
    <t>4.4.17</t>
  </si>
  <si>
    <t>4.4.18</t>
  </si>
  <si>
    <t>4.4.19</t>
  </si>
  <si>
    <t>4.4.20</t>
  </si>
  <si>
    <t>4.4.21</t>
  </si>
  <si>
    <t>4.4.22</t>
  </si>
  <si>
    <t>4.4.23</t>
  </si>
  <si>
    <t>4.4.24</t>
  </si>
  <si>
    <t>4.4.25</t>
  </si>
  <si>
    <t>4.4.26</t>
  </si>
  <si>
    <t>4.4.27</t>
  </si>
  <si>
    <t>4.4.28</t>
  </si>
  <si>
    <t>4.4.29</t>
  </si>
  <si>
    <t>4.4.30</t>
  </si>
  <si>
    <t>4.4.31</t>
  </si>
  <si>
    <t>4.5.1</t>
  </si>
  <si>
    <t>4.5.2</t>
  </si>
  <si>
    <t>4.5.3</t>
  </si>
  <si>
    <t>4.5.4</t>
  </si>
  <si>
    <t>4.5.5</t>
  </si>
  <si>
    <t>4.5.6</t>
  </si>
  <si>
    <t>4.5.7</t>
  </si>
  <si>
    <t>4.5.8</t>
  </si>
  <si>
    <t>4.6.1</t>
  </si>
  <si>
    <t>4.6.2</t>
  </si>
  <si>
    <t>4.6.3</t>
  </si>
  <si>
    <t>4.6.4</t>
  </si>
  <si>
    <t>4.6.5</t>
  </si>
  <si>
    <t>4.6.6</t>
  </si>
  <si>
    <t>4.6.7</t>
  </si>
  <si>
    <t>4.6.8</t>
  </si>
  <si>
    <t>4.6.9</t>
  </si>
  <si>
    <t>4.6.10</t>
  </si>
  <si>
    <t>4.6.11</t>
  </si>
  <si>
    <t>4.6.12</t>
  </si>
  <si>
    <t>4.6.13</t>
  </si>
  <si>
    <t>4.6.14</t>
  </si>
  <si>
    <t>4.6.15</t>
  </si>
  <si>
    <t>4.6.16</t>
  </si>
  <si>
    <t>4.6.17</t>
  </si>
  <si>
    <t>4.6.18</t>
  </si>
  <si>
    <t>4.6.19</t>
  </si>
  <si>
    <t>4.7.1</t>
  </si>
  <si>
    <t>4.7.2</t>
  </si>
  <si>
    <t>4.7.3</t>
  </si>
  <si>
    <t>4.7.4</t>
  </si>
  <si>
    <t>4.7.5</t>
  </si>
  <si>
    <t>4.7.6</t>
  </si>
  <si>
    <t>4.7.7</t>
  </si>
  <si>
    <t>4.7.8</t>
  </si>
  <si>
    <t>4.7.9</t>
  </si>
  <si>
    <t>4.7.10</t>
  </si>
  <si>
    <t>4.7.11</t>
  </si>
  <si>
    <t>4.7.12</t>
  </si>
  <si>
    <t>4.7.13</t>
  </si>
  <si>
    <t>4.7.14</t>
  </si>
  <si>
    <t>4.7.15</t>
  </si>
  <si>
    <t>4.7.16</t>
  </si>
  <si>
    <t>4.7.17</t>
  </si>
  <si>
    <t>4.7.18</t>
  </si>
  <si>
    <t>4.7.19</t>
  </si>
  <si>
    <t>4.7.20</t>
  </si>
  <si>
    <t>4.7.21</t>
  </si>
  <si>
    <t>4.7.22</t>
  </si>
  <si>
    <t>4.7.23</t>
  </si>
  <si>
    <t>4.7.24</t>
  </si>
  <si>
    <t>4.7.25</t>
  </si>
  <si>
    <t>4.7.26</t>
  </si>
  <si>
    <t>4.7.27</t>
  </si>
  <si>
    <t>4.7.28</t>
  </si>
  <si>
    <t>4.7.29</t>
  </si>
  <si>
    <t>4.7.30</t>
  </si>
  <si>
    <t>4.7.31</t>
  </si>
  <si>
    <t>4.7.32</t>
  </si>
  <si>
    <t>4.7.33</t>
  </si>
  <si>
    <t>4.7.34</t>
  </si>
  <si>
    <t>4.7.35</t>
  </si>
  <si>
    <t>4.7.36</t>
  </si>
  <si>
    <t>4.8.1</t>
  </si>
  <si>
    <t>Proyecto</t>
  </si>
  <si>
    <t>Maximo</t>
  </si>
  <si>
    <t>Simulación</t>
  </si>
  <si>
    <t>N°</t>
  </si>
  <si>
    <t>Licitación Ingeniería</t>
  </si>
  <si>
    <t>Civil-Estruc.</t>
  </si>
  <si>
    <t>Mec.-Pip.</t>
  </si>
  <si>
    <t>Elec - Ins.</t>
  </si>
  <si>
    <t>Nota: No se considera en el análisis el suministro de la planta Ecosystem 500.000 USD</t>
  </si>
  <si>
    <t>Civil</t>
  </si>
  <si>
    <t>Mecánica</t>
  </si>
  <si>
    <t>Eléctrica</t>
  </si>
  <si>
    <t>Instrumentacióno</t>
  </si>
  <si>
    <t>Estructura</t>
  </si>
  <si>
    <t>Instalación de Faenas y Manejo Sitio</t>
  </si>
  <si>
    <t>Obras Civiles</t>
  </si>
  <si>
    <t>Suministro y montaje cañerias y válvulas.</t>
  </si>
  <si>
    <t>Estructura Metálica (techo)</t>
  </si>
  <si>
    <t>Obras Eléctrica</t>
  </si>
  <si>
    <t>Instrumentación</t>
  </si>
  <si>
    <t>Precomisionamiento y Puesta en Marcha</t>
  </si>
  <si>
    <t>Inicio</t>
  </si>
  <si>
    <t>Avance 25%</t>
  </si>
  <si>
    <t>Avance 50%</t>
  </si>
  <si>
    <t>Avance 75%</t>
  </si>
  <si>
    <t>Avance 90%</t>
  </si>
  <si>
    <t>BD</t>
  </si>
  <si>
    <t>Analisis</t>
  </si>
  <si>
    <t>Lic. Ingenieria</t>
  </si>
  <si>
    <t>Lic. Construcción</t>
  </si>
  <si>
    <t>Esto es para validar la Base de Datos</t>
  </si>
  <si>
    <t>Etapa Proyeto</t>
  </si>
  <si>
    <t>Ponderador</t>
  </si>
  <si>
    <t>Simulación CB</t>
  </si>
  <si>
    <t>Juicio Exp.</t>
  </si>
  <si>
    <t>Método</t>
  </si>
  <si>
    <t>Costo ($)</t>
  </si>
  <si>
    <t>Plazo (días)</t>
  </si>
  <si>
    <t>Inicio Proyecto</t>
  </si>
  <si>
    <t>Estimado</t>
  </si>
  <si>
    <t>Inicio Proyecto.</t>
  </si>
  <si>
    <t>Análisis Riesgos (90%)</t>
  </si>
  <si>
    <t>25% Avance Const.</t>
  </si>
  <si>
    <t>Item</t>
  </si>
  <si>
    <t xml:space="preserve">Plazo </t>
  </si>
  <si>
    <t>Costo (CLP)</t>
  </si>
  <si>
    <t>Nota: Se considera 90% prob. excedencia</t>
  </si>
  <si>
    <t>Dif. plazo</t>
  </si>
  <si>
    <t>Dif. costo</t>
  </si>
  <si>
    <t>-</t>
  </si>
  <si>
    <t>C1=0,5 y C2=0,5</t>
  </si>
  <si>
    <t>C1=0,9 y C2=0,1</t>
  </si>
  <si>
    <t>C1=0,1 y C2=0,9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</si>
</sst>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 * #,##0.00_ ;_ * \-#,##0.00_ ;_ * &quot;-&quot;??_ ;_ @_ "/>
    <numFmt numFmtId="164" formatCode="&quot;$&quot;#,##0"/>
    <numFmt numFmtId="165" formatCode="0.0"/>
    <numFmt numFmtId="166" formatCode="_-* #,##0_-;\-* #,##0_-;_-* &quot;-&quot;??_-;_-@_-"/>
    <numFmt numFmtId="167" formatCode="#,##0.0"/>
    <numFmt numFmtId="168" formatCode="0.0%"/>
    <numFmt numFmtId="169" formatCode="#,##0.000"/>
    <numFmt numFmtId="170" formatCode="0.000"/>
    <numFmt numFmtId="171" formatCode="_-* #,##0.0_-;\-* #,##0.0_-;_-* &quot;-&quot;??_-;_-@_-"/>
  </numFmts>
  <fonts count="2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sz val="12"/>
      <color indexed="8"/>
      <name val="Times New Roman"/>
      <family val="1"/>
    </font>
    <font>
      <b/>
      <sz val="12"/>
      <color indexed="8"/>
      <name val="Times New Roman"/>
      <family val="1"/>
    </font>
    <font>
      <sz val="12"/>
      <name val="Times New Roman"/>
      <family val="1"/>
    </font>
    <font>
      <sz val="10"/>
      <color indexed="12"/>
      <name val="Arial"/>
      <family val="2"/>
    </font>
    <font>
      <sz val="12"/>
      <color indexed="12"/>
      <name val="Times New Roman"/>
      <family val="1"/>
    </font>
    <font>
      <b/>
      <sz val="10"/>
      <name val="Arial"/>
      <family val="2"/>
    </font>
    <font>
      <b/>
      <sz val="16"/>
      <color indexed="12"/>
      <name val="Times New Roman"/>
      <family val="1"/>
    </font>
    <font>
      <sz val="11"/>
      <color theme="1"/>
      <name val="Calibri"/>
      <family val="2"/>
      <scheme val="minor"/>
    </font>
    <font>
      <b/>
      <sz val="14"/>
      <name val="Arial Narrow"/>
      <family val="2"/>
    </font>
    <font>
      <b/>
      <sz val="14"/>
      <color theme="1"/>
      <name val="Arial Narrow"/>
      <family val="2"/>
    </font>
    <font>
      <b/>
      <sz val="14"/>
      <color theme="0"/>
      <name val="Arial Narrow"/>
      <family val="2"/>
    </font>
    <font>
      <sz val="14"/>
      <color theme="0"/>
      <name val="Arial Narrow"/>
      <family val="2"/>
    </font>
    <font>
      <sz val="14"/>
      <color rgb="FF000000"/>
      <name val="Arial Narrow"/>
      <family val="2"/>
    </font>
    <font>
      <sz val="14"/>
      <name val="Arial Narrow"/>
      <family val="2"/>
    </font>
    <font>
      <sz val="14"/>
      <color theme="1"/>
      <name val="Arial Narrow"/>
      <family val="2"/>
    </font>
    <font>
      <b/>
      <sz val="16"/>
      <name val="Arial Narrow"/>
      <family val="2"/>
    </font>
    <font>
      <b/>
      <sz val="10"/>
      <name val="Verdana"/>
      <family val="2"/>
    </font>
    <font>
      <b/>
      <sz val="11"/>
      <color rgb="FF000000"/>
      <name val="Calibri"/>
      <family val="2"/>
      <scheme val="minor"/>
    </font>
    <font>
      <sz val="11"/>
      <color theme="1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</fills>
  <borders count="7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9">
    <xf numFmtId="0" fontId="0" fillId="0" borderId="0"/>
    <xf numFmtId="0" fontId="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13" fillId="0" borderId="0" applyFont="0" applyFill="0" applyBorder="0" applyAlignment="0" applyProtection="0"/>
  </cellStyleXfs>
  <cellXfs count="458">
    <xf numFmtId="0" fontId="0" fillId="0" borderId="0" xfId="0"/>
    <xf numFmtId="0" fontId="0" fillId="0" borderId="0" xfId="0" applyAlignment="1">
      <alignment vertical="center" wrapText="1"/>
    </xf>
    <xf numFmtId="0" fontId="0" fillId="0" borderId="0" xfId="0" applyBorder="1"/>
    <xf numFmtId="0" fontId="0" fillId="0" borderId="4" xfId="0" applyBorder="1"/>
    <xf numFmtId="0" fontId="0" fillId="0" borderId="1" xfId="0" applyBorder="1"/>
    <xf numFmtId="0" fontId="3" fillId="0" borderId="0" xfId="1"/>
    <xf numFmtId="0" fontId="4" fillId="0" borderId="0" xfId="1" applyFont="1"/>
    <xf numFmtId="0" fontId="3" fillId="0" borderId="1" xfId="1" applyBorder="1"/>
    <xf numFmtId="0" fontId="5" fillId="0" borderId="1" xfId="1" applyFont="1" applyBorder="1"/>
    <xf numFmtId="0" fontId="6" fillId="0" borderId="17" xfId="1" applyFont="1" applyBorder="1" applyAlignment="1">
      <alignment wrapText="1"/>
    </xf>
    <xf numFmtId="0" fontId="6" fillId="0" borderId="18" xfId="1" applyFont="1" applyBorder="1" applyAlignment="1">
      <alignment wrapText="1"/>
    </xf>
    <xf numFmtId="0" fontId="7" fillId="0" borderId="18" xfId="1" applyFont="1" applyBorder="1" applyAlignment="1">
      <alignment wrapText="1"/>
    </xf>
    <xf numFmtId="0" fontId="4" fillId="0" borderId="18" xfId="1" applyFont="1" applyBorder="1"/>
    <xf numFmtId="0" fontId="6" fillId="0" borderId="18" xfId="1" applyFont="1" applyBorder="1"/>
    <xf numFmtId="0" fontId="8" fillId="0" borderId="1" xfId="1" applyFont="1" applyBorder="1" applyAlignment="1">
      <alignment wrapText="1"/>
    </xf>
    <xf numFmtId="0" fontId="9" fillId="0" borderId="1" xfId="1" applyFont="1" applyBorder="1"/>
    <xf numFmtId="0" fontId="8" fillId="0" borderId="1" xfId="1" applyFont="1" applyBorder="1"/>
    <xf numFmtId="0" fontId="7" fillId="0" borderId="18" xfId="1" applyFont="1" applyBorder="1"/>
    <xf numFmtId="0" fontId="10" fillId="0" borderId="1" xfId="1" applyFont="1" applyBorder="1" applyAlignment="1">
      <alignment wrapText="1"/>
    </xf>
    <xf numFmtId="0" fontId="6" fillId="0" borderId="18" xfId="1" applyFont="1" applyFill="1" applyBorder="1" applyAlignment="1">
      <alignment wrapText="1"/>
    </xf>
    <xf numFmtId="0" fontId="2" fillId="0" borderId="0" xfId="1" applyFont="1"/>
    <xf numFmtId="0" fontId="8" fillId="0" borderId="18" xfId="1" applyFont="1" applyBorder="1"/>
    <xf numFmtId="0" fontId="11" fillId="0" borderId="1" xfId="1" applyFont="1" applyFill="1" applyBorder="1" applyAlignment="1">
      <alignment horizontal="center"/>
    </xf>
    <xf numFmtId="0" fontId="11" fillId="0" borderId="1" xfId="1" applyFont="1" applyBorder="1" applyAlignment="1">
      <alignment horizontal="center"/>
    </xf>
    <xf numFmtId="0" fontId="11" fillId="0" borderId="11" xfId="1" applyFont="1" applyBorder="1" applyAlignment="1">
      <alignment horizontal="center"/>
    </xf>
    <xf numFmtId="0" fontId="12" fillId="0" borderId="10" xfId="1" applyFont="1" applyBorder="1" applyAlignment="1">
      <alignment horizontal="center"/>
    </xf>
    <xf numFmtId="0" fontId="0" fillId="0" borderId="19" xfId="0" applyBorder="1"/>
    <xf numFmtId="0" fontId="0" fillId="0" borderId="20" xfId="0" applyBorder="1" applyAlignment="1">
      <alignment vertical="center" wrapText="1"/>
    </xf>
    <xf numFmtId="0" fontId="0" fillId="0" borderId="20" xfId="0" applyBorder="1"/>
    <xf numFmtId="0" fontId="0" fillId="0" borderId="31" xfId="0" applyBorder="1"/>
    <xf numFmtId="0" fontId="0" fillId="0" borderId="32" xfId="0" applyBorder="1"/>
    <xf numFmtId="3" fontId="0" fillId="0" borderId="31" xfId="0" applyNumberFormat="1" applyBorder="1" applyAlignment="1">
      <alignment horizontal="right"/>
    </xf>
    <xf numFmtId="3" fontId="0" fillId="0" borderId="1" xfId="0" applyNumberFormat="1" applyBorder="1" applyAlignment="1">
      <alignment horizontal="right"/>
    </xf>
    <xf numFmtId="9" fontId="0" fillId="0" borderId="0" xfId="2" applyFont="1"/>
    <xf numFmtId="3" fontId="0" fillId="0" borderId="1" xfId="0" applyNumberFormat="1" applyBorder="1"/>
    <xf numFmtId="0" fontId="0" fillId="0" borderId="0" xfId="0" applyAlignment="1">
      <alignment horizontal="right"/>
    </xf>
    <xf numFmtId="164" fontId="0" fillId="0" borderId="0" xfId="0" applyNumberFormat="1"/>
    <xf numFmtId="3" fontId="0" fillId="0" borderId="45" xfId="0" applyNumberFormat="1" applyBorder="1" applyAlignment="1">
      <alignment horizontal="right"/>
    </xf>
    <xf numFmtId="3" fontId="0" fillId="0" borderId="7" xfId="0" applyNumberFormat="1" applyBorder="1"/>
    <xf numFmtId="3" fontId="0" fillId="0" borderId="31" xfId="2" applyNumberFormat="1" applyFont="1" applyBorder="1"/>
    <xf numFmtId="0" fontId="0" fillId="0" borderId="10" xfId="0" applyBorder="1"/>
    <xf numFmtId="3" fontId="0" fillId="0" borderId="45" xfId="2" applyNumberFormat="1" applyFont="1" applyBorder="1"/>
    <xf numFmtId="3" fontId="0" fillId="0" borderId="46" xfId="0" applyNumberFormat="1" applyBorder="1"/>
    <xf numFmtId="3" fontId="0" fillId="0" borderId="47" xfId="0" applyNumberFormat="1" applyBorder="1"/>
    <xf numFmtId="0" fontId="0" fillId="0" borderId="42" xfId="0" applyBorder="1"/>
    <xf numFmtId="3" fontId="0" fillId="0" borderId="28" xfId="0" applyNumberFormat="1" applyBorder="1" applyAlignment="1">
      <alignment horizontal="right"/>
    </xf>
    <xf numFmtId="3" fontId="0" fillId="0" borderId="41" xfId="0" applyNumberFormat="1" applyBorder="1"/>
    <xf numFmtId="3" fontId="0" fillId="0" borderId="29" xfId="0" applyNumberFormat="1" applyBorder="1"/>
    <xf numFmtId="3" fontId="0" fillId="0" borderId="30" xfId="0" applyNumberFormat="1" applyBorder="1"/>
    <xf numFmtId="3" fontId="0" fillId="0" borderId="32" xfId="0" applyNumberFormat="1" applyBorder="1"/>
    <xf numFmtId="0" fontId="0" fillId="0" borderId="27" xfId="0" applyBorder="1"/>
    <xf numFmtId="3" fontId="0" fillId="0" borderId="24" xfId="0" applyNumberFormat="1" applyBorder="1"/>
    <xf numFmtId="3" fontId="0" fillId="0" borderId="25" xfId="0" applyNumberFormat="1" applyBorder="1"/>
    <xf numFmtId="3" fontId="0" fillId="0" borderId="34" xfId="0" applyNumberFormat="1" applyBorder="1"/>
    <xf numFmtId="3" fontId="0" fillId="0" borderId="28" xfId="2" applyNumberFormat="1" applyFont="1" applyBorder="1"/>
    <xf numFmtId="164" fontId="0" fillId="0" borderId="30" xfId="2" applyNumberFormat="1" applyFont="1" applyBorder="1"/>
    <xf numFmtId="164" fontId="0" fillId="0" borderId="32" xfId="2" applyNumberFormat="1" applyFont="1" applyBorder="1"/>
    <xf numFmtId="164" fontId="0" fillId="0" borderId="34" xfId="2" applyNumberFormat="1" applyFont="1" applyBorder="1"/>
    <xf numFmtId="164" fontId="0" fillId="0" borderId="49" xfId="2" applyNumberFormat="1" applyFont="1" applyBorder="1"/>
    <xf numFmtId="0" fontId="0" fillId="0" borderId="7" xfId="0" applyBorder="1"/>
    <xf numFmtId="17" fontId="0" fillId="0" borderId="1" xfId="0" applyNumberFormat="1" applyBorder="1"/>
    <xf numFmtId="164" fontId="0" fillId="0" borderId="1" xfId="0" applyNumberFormat="1" applyBorder="1"/>
    <xf numFmtId="3" fontId="0" fillId="0" borderId="28" xfId="0" applyNumberFormat="1" applyBorder="1"/>
    <xf numFmtId="3" fontId="0" fillId="0" borderId="45" xfId="0" applyNumberFormat="1" applyBorder="1"/>
    <xf numFmtId="3" fontId="0" fillId="0" borderId="31" xfId="0" applyNumberFormat="1" applyBorder="1"/>
    <xf numFmtId="3" fontId="0" fillId="0" borderId="33" xfId="0" applyNumberFormat="1" applyBorder="1"/>
    <xf numFmtId="0" fontId="0" fillId="0" borderId="52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44" xfId="0" applyBorder="1" applyAlignment="1">
      <alignment horizontal="center"/>
    </xf>
    <xf numFmtId="3" fontId="0" fillId="0" borderId="0" xfId="0" applyNumberFormat="1"/>
    <xf numFmtId="3" fontId="0" fillId="0" borderId="38" xfId="2" applyNumberFormat="1" applyFont="1" applyBorder="1"/>
    <xf numFmtId="3" fontId="0" fillId="0" borderId="9" xfId="0" applyNumberFormat="1" applyBorder="1"/>
    <xf numFmtId="3" fontId="0" fillId="0" borderId="8" xfId="0" applyNumberFormat="1" applyBorder="1"/>
    <xf numFmtId="0" fontId="0" fillId="0" borderId="59" xfId="0" applyBorder="1"/>
    <xf numFmtId="0" fontId="0" fillId="0" borderId="40" xfId="0" applyBorder="1" applyAlignment="1">
      <alignment horizontal="center"/>
    </xf>
    <xf numFmtId="0" fontId="0" fillId="0" borderId="60" xfId="0" applyBorder="1"/>
    <xf numFmtId="0" fontId="0" fillId="0" borderId="20" xfId="0" applyFill="1" applyBorder="1"/>
    <xf numFmtId="0" fontId="0" fillId="0" borderId="21" xfId="0" applyFill="1" applyBorder="1"/>
    <xf numFmtId="0" fontId="0" fillId="0" borderId="40" xfId="0" applyBorder="1" applyAlignment="1">
      <alignment horizontal="center"/>
    </xf>
    <xf numFmtId="165" fontId="0" fillId="0" borderId="0" xfId="0" applyNumberFormat="1"/>
    <xf numFmtId="0" fontId="1" fillId="2" borderId="5" xfId="0" applyFont="1" applyFill="1" applyBorder="1" applyAlignment="1">
      <alignment horizontal="center"/>
    </xf>
    <xf numFmtId="0" fontId="0" fillId="0" borderId="40" xfId="0" applyBorder="1" applyAlignment="1">
      <alignment horizontal="center"/>
    </xf>
    <xf numFmtId="1" fontId="0" fillId="0" borderId="61" xfId="2" applyNumberFormat="1" applyFont="1" applyBorder="1"/>
    <xf numFmtId="164" fontId="0" fillId="0" borderId="61" xfId="2" applyNumberFormat="1" applyFont="1" applyBorder="1"/>
    <xf numFmtId="0" fontId="1" fillId="0" borderId="2" xfId="0" applyFont="1" applyBorder="1"/>
    <xf numFmtId="1" fontId="0" fillId="0" borderId="53" xfId="2" applyNumberFormat="1" applyFont="1" applyBorder="1"/>
    <xf numFmtId="3" fontId="0" fillId="0" borderId="1" xfId="2" applyNumberFormat="1" applyFont="1" applyBorder="1"/>
    <xf numFmtId="3" fontId="0" fillId="0" borderId="29" xfId="0" applyNumberFormat="1" applyBorder="1" applyAlignment="1">
      <alignment horizontal="right"/>
    </xf>
    <xf numFmtId="3" fontId="0" fillId="0" borderId="8" xfId="2" applyNumberFormat="1" applyFont="1" applyBorder="1"/>
    <xf numFmtId="164" fontId="0" fillId="0" borderId="39" xfId="2" applyNumberFormat="1" applyFont="1" applyBorder="1"/>
    <xf numFmtId="3" fontId="0" fillId="0" borderId="29" xfId="2" applyNumberFormat="1" applyFont="1" applyBorder="1"/>
    <xf numFmtId="3" fontId="0" fillId="0" borderId="43" xfId="0" applyNumberFormat="1" applyBorder="1"/>
    <xf numFmtId="164" fontId="0" fillId="0" borderId="17" xfId="2" applyNumberFormat="1" applyFont="1" applyBorder="1"/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164" fontId="0" fillId="0" borderId="62" xfId="2" applyNumberFormat="1" applyFont="1" applyBorder="1"/>
    <xf numFmtId="3" fontId="0" fillId="0" borderId="47" xfId="2" applyNumberFormat="1" applyFont="1" applyBorder="1"/>
    <xf numFmtId="3" fontId="0" fillId="0" borderId="15" xfId="0" applyNumberFormat="1" applyBorder="1"/>
    <xf numFmtId="3" fontId="0" fillId="0" borderId="47" xfId="0" applyNumberFormat="1" applyBorder="1" applyAlignment="1">
      <alignment horizontal="right"/>
    </xf>
    <xf numFmtId="0" fontId="0" fillId="0" borderId="40" xfId="0" applyBorder="1" applyAlignment="1">
      <alignment horizontal="center"/>
    </xf>
    <xf numFmtId="0" fontId="14" fillId="4" borderId="1" xfId="0" applyFont="1" applyFill="1" applyBorder="1" applyAlignment="1">
      <alignment horizontal="center" vertical="center" wrapText="1"/>
    </xf>
    <xf numFmtId="0" fontId="14" fillId="4" borderId="1" xfId="0" applyFont="1" applyFill="1" applyBorder="1" applyAlignment="1">
      <alignment horizontal="center" vertical="center"/>
    </xf>
    <xf numFmtId="3" fontId="15" fillId="4" borderId="1" xfId="0" applyNumberFormat="1" applyFont="1" applyFill="1" applyBorder="1" applyAlignment="1">
      <alignment horizontal="center" vertical="center" wrapText="1"/>
    </xf>
    <xf numFmtId="166" fontId="14" fillId="4" borderId="1" xfId="3" applyNumberFormat="1" applyFont="1" applyFill="1" applyBorder="1" applyAlignment="1">
      <alignment horizontal="center" vertical="center" wrapText="1"/>
    </xf>
    <xf numFmtId="0" fontId="16" fillId="5" borderId="1" xfId="0" applyFont="1" applyFill="1" applyBorder="1" applyAlignment="1">
      <alignment horizontal="center" vertical="center" wrapText="1"/>
    </xf>
    <xf numFmtId="0" fontId="16" fillId="5" borderId="1" xfId="0" applyFont="1" applyFill="1" applyBorder="1" applyAlignment="1">
      <alignment vertical="center"/>
    </xf>
    <xf numFmtId="0" fontId="17" fillId="5" borderId="1" xfId="4" applyFont="1" applyFill="1" applyBorder="1" applyAlignment="1">
      <alignment horizontal="center"/>
    </xf>
    <xf numFmtId="3" fontId="17" fillId="5" borderId="1" xfId="4" applyNumberFormat="1" applyFont="1" applyFill="1" applyBorder="1" applyAlignment="1">
      <alignment horizontal="center" wrapText="1"/>
    </xf>
    <xf numFmtId="166" fontId="16" fillId="5" borderId="1" xfId="3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0" fontId="18" fillId="6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vertical="center"/>
    </xf>
    <xf numFmtId="0" fontId="19" fillId="0" borderId="1" xfId="0" applyFont="1" applyFill="1" applyBorder="1" applyAlignment="1">
      <alignment horizontal="center" vertical="center"/>
    </xf>
    <xf numFmtId="166" fontId="20" fillId="0" borderId="1" xfId="3" applyNumberFormat="1" applyFont="1" applyFill="1" applyBorder="1" applyAlignment="1">
      <alignment vertical="center" wrapText="1"/>
    </xf>
    <xf numFmtId="0" fontId="18" fillId="0" borderId="1" xfId="0" applyFont="1" applyFill="1" applyBorder="1" applyAlignment="1">
      <alignment horizontal="center" vertical="center" wrapText="1"/>
    </xf>
    <xf numFmtId="3" fontId="19" fillId="0" borderId="1" xfId="0" applyNumberFormat="1" applyFont="1" applyFill="1" applyBorder="1" applyAlignment="1">
      <alignment horizontal="center" vertical="center"/>
    </xf>
    <xf numFmtId="0" fontId="19" fillId="0" borderId="0" xfId="0" applyFont="1" applyBorder="1" applyAlignment="1">
      <alignment horizontal="left" vertical="center" wrapText="1"/>
    </xf>
    <xf numFmtId="3" fontId="19" fillId="0" borderId="0" xfId="0" applyNumberFormat="1" applyFont="1" applyBorder="1" applyAlignment="1">
      <alignment horizontal="center"/>
    </xf>
    <xf numFmtId="0" fontId="21" fillId="0" borderId="56" xfId="0" applyFont="1" applyBorder="1" applyAlignment="1">
      <alignment horizontal="left"/>
    </xf>
    <xf numFmtId="166" fontId="14" fillId="0" borderId="57" xfId="3" applyNumberFormat="1" applyFont="1" applyBorder="1" applyAlignment="1">
      <alignment horizontal="right"/>
    </xf>
    <xf numFmtId="166" fontId="14" fillId="0" borderId="57" xfId="3" applyNumberFormat="1" applyFont="1" applyBorder="1" applyAlignment="1">
      <alignment horizontal="center"/>
    </xf>
    <xf numFmtId="167" fontId="14" fillId="0" borderId="57" xfId="0" applyNumberFormat="1" applyFont="1" applyBorder="1" applyAlignment="1">
      <alignment horizontal="center"/>
    </xf>
    <xf numFmtId="166" fontId="14" fillId="0" borderId="58" xfId="3" applyNumberFormat="1" applyFont="1" applyBorder="1" applyAlignment="1">
      <alignment horizontal="center"/>
    </xf>
    <xf numFmtId="0" fontId="21" fillId="0" borderId="2" xfId="0" applyFont="1" applyBorder="1" applyAlignment="1">
      <alignment horizontal="left"/>
    </xf>
    <xf numFmtId="167" fontId="14" fillId="0" borderId="5" xfId="0" applyNumberFormat="1" applyFont="1" applyBorder="1" applyAlignment="1">
      <alignment horizontal="center"/>
    </xf>
    <xf numFmtId="166" fontId="14" fillId="0" borderId="3" xfId="3" applyNumberFormat="1" applyFont="1" applyBorder="1" applyAlignment="1">
      <alignment horizontal="center"/>
    </xf>
    <xf numFmtId="166" fontId="14" fillId="4" borderId="10" xfId="3" applyNumberFormat="1" applyFont="1" applyFill="1" applyBorder="1" applyAlignment="1">
      <alignment horizontal="center" vertical="center" wrapText="1"/>
    </xf>
    <xf numFmtId="166" fontId="16" fillId="5" borderId="10" xfId="3" applyNumberFormat="1" applyFont="1" applyFill="1" applyBorder="1" applyAlignment="1">
      <alignment vertical="center" wrapText="1"/>
    </xf>
    <xf numFmtId="166" fontId="20" fillId="0" borderId="10" xfId="3" applyNumberFormat="1" applyFont="1" applyFill="1" applyBorder="1" applyAlignment="1">
      <alignment horizontal="center" vertical="center" wrapText="1"/>
    </xf>
    <xf numFmtId="0" fontId="0" fillId="0" borderId="33" xfId="0" applyBorder="1"/>
    <xf numFmtId="0" fontId="0" fillId="0" borderId="25" xfId="0" applyBorder="1"/>
    <xf numFmtId="0" fontId="0" fillId="0" borderId="34" xfId="0" applyBorder="1"/>
    <xf numFmtId="166" fontId="16" fillId="5" borderId="45" xfId="3" applyNumberFormat="1" applyFont="1" applyFill="1" applyBorder="1" applyAlignment="1">
      <alignment vertical="center" wrapText="1"/>
    </xf>
    <xf numFmtId="166" fontId="16" fillId="5" borderId="47" xfId="3" applyNumberFormat="1" applyFont="1" applyFill="1" applyBorder="1" applyAlignment="1">
      <alignment vertical="center" wrapText="1"/>
    </xf>
    <xf numFmtId="166" fontId="16" fillId="5" borderId="49" xfId="3" applyNumberFormat="1" applyFont="1" applyFill="1" applyBorder="1" applyAlignment="1">
      <alignment vertical="center" wrapText="1"/>
    </xf>
    <xf numFmtId="0" fontId="14" fillId="4" borderId="53" xfId="3" applyNumberFormat="1" applyFont="1" applyFill="1" applyBorder="1" applyAlignment="1">
      <alignment horizontal="center" vertical="center" wrapText="1"/>
    </xf>
    <xf numFmtId="166" fontId="14" fillId="4" borderId="61" xfId="3" applyNumberFormat="1" applyFont="1" applyFill="1" applyBorder="1" applyAlignment="1">
      <alignment horizontal="center" vertical="center" wrapText="1"/>
    </xf>
    <xf numFmtId="0" fontId="14" fillId="4" borderId="54" xfId="3" applyNumberFormat="1" applyFont="1" applyFill="1" applyBorder="1" applyAlignment="1">
      <alignment horizontal="center" vertical="center" wrapText="1"/>
    </xf>
    <xf numFmtId="3" fontId="0" fillId="7" borderId="28" xfId="0" applyNumberFormat="1" applyFill="1" applyBorder="1" applyAlignment="1">
      <alignment horizontal="center"/>
    </xf>
    <xf numFmtId="3" fontId="0" fillId="7" borderId="29" xfId="0" applyNumberFormat="1" applyFill="1" applyBorder="1" applyAlignment="1">
      <alignment horizontal="center"/>
    </xf>
    <xf numFmtId="164" fontId="0" fillId="7" borderId="30" xfId="2" applyNumberFormat="1" applyFont="1" applyFill="1" applyBorder="1" applyAlignment="1">
      <alignment horizontal="center"/>
    </xf>
    <xf numFmtId="3" fontId="0" fillId="7" borderId="45" xfId="0" applyNumberFormat="1" applyFill="1" applyBorder="1" applyAlignment="1">
      <alignment horizontal="center"/>
    </xf>
    <xf numFmtId="3" fontId="0" fillId="7" borderId="47" xfId="0" applyNumberFormat="1" applyFill="1" applyBorder="1" applyAlignment="1">
      <alignment horizontal="center"/>
    </xf>
    <xf numFmtId="164" fontId="0" fillId="7" borderId="49" xfId="2" applyNumberFormat="1" applyFont="1" applyFill="1" applyBorder="1" applyAlignment="1">
      <alignment horizontal="center"/>
    </xf>
    <xf numFmtId="3" fontId="0" fillId="7" borderId="31" xfId="0" applyNumberFormat="1" applyFill="1" applyBorder="1" applyAlignment="1">
      <alignment horizontal="center"/>
    </xf>
    <xf numFmtId="3" fontId="0" fillId="7" borderId="1" xfId="0" applyNumberFormat="1" applyFill="1" applyBorder="1" applyAlignment="1">
      <alignment horizontal="center"/>
    </xf>
    <xf numFmtId="164" fontId="0" fillId="7" borderId="32" xfId="2" applyNumberFormat="1" applyFont="1" applyFill="1" applyBorder="1" applyAlignment="1">
      <alignment horizontal="center"/>
    </xf>
    <xf numFmtId="3" fontId="0" fillId="7" borderId="31" xfId="2" applyNumberFormat="1" applyFont="1" applyFill="1" applyBorder="1" applyAlignment="1">
      <alignment horizontal="center"/>
    </xf>
    <xf numFmtId="3" fontId="0" fillId="7" borderId="1" xfId="2" applyNumberFormat="1" applyFont="1" applyFill="1" applyBorder="1" applyAlignment="1">
      <alignment horizontal="center"/>
    </xf>
    <xf numFmtId="3" fontId="0" fillId="7" borderId="38" xfId="2" applyNumberFormat="1" applyFont="1" applyFill="1" applyBorder="1" applyAlignment="1">
      <alignment horizontal="center"/>
    </xf>
    <xf numFmtId="3" fontId="0" fillId="7" borderId="8" xfId="2" applyNumberFormat="1" applyFont="1" applyFill="1" applyBorder="1" applyAlignment="1">
      <alignment horizontal="center"/>
    </xf>
    <xf numFmtId="164" fontId="0" fillId="7" borderId="39" xfId="2" applyNumberFormat="1" applyFont="1" applyFill="1" applyBorder="1" applyAlignment="1">
      <alignment horizontal="center"/>
    </xf>
    <xf numFmtId="3" fontId="0" fillId="7" borderId="33" xfId="0" applyNumberFormat="1" applyFill="1" applyBorder="1" applyAlignment="1">
      <alignment horizontal="center"/>
    </xf>
    <xf numFmtId="3" fontId="0" fillId="7" borderId="25" xfId="0" applyNumberFormat="1" applyFill="1" applyBorder="1" applyAlignment="1">
      <alignment horizontal="center"/>
    </xf>
    <xf numFmtId="164" fontId="0" fillId="7" borderId="34" xfId="2" applyNumberFormat="1" applyFont="1" applyFill="1" applyBorder="1" applyAlignment="1">
      <alignment horizontal="center"/>
    </xf>
    <xf numFmtId="3" fontId="0" fillId="7" borderId="51" xfId="0" applyNumberFormat="1" applyFill="1" applyBorder="1" applyAlignment="1">
      <alignment horizontal="center"/>
    </xf>
    <xf numFmtId="3" fontId="0" fillId="7" borderId="63" xfId="0" applyNumberFormat="1" applyFill="1" applyBorder="1" applyAlignment="1">
      <alignment horizontal="center"/>
    </xf>
    <xf numFmtId="164" fontId="0" fillId="7" borderId="62" xfId="2" applyNumberFormat="1" applyFont="1" applyFill="1" applyBorder="1" applyAlignment="1">
      <alignment horizontal="center"/>
    </xf>
    <xf numFmtId="3" fontId="0" fillId="7" borderId="28" xfId="2" applyNumberFormat="1" applyFont="1" applyFill="1" applyBorder="1" applyAlignment="1">
      <alignment horizontal="center"/>
    </xf>
    <xf numFmtId="3" fontId="0" fillId="7" borderId="29" xfId="2" applyNumberFormat="1" applyFont="1" applyFill="1" applyBorder="1" applyAlignment="1">
      <alignment horizontal="center"/>
    </xf>
    <xf numFmtId="164" fontId="0" fillId="7" borderId="42" xfId="2" applyNumberFormat="1" applyFont="1" applyFill="1" applyBorder="1" applyAlignment="1">
      <alignment horizontal="center"/>
    </xf>
    <xf numFmtId="164" fontId="0" fillId="7" borderId="10" xfId="2" applyNumberFormat="1" applyFont="1" applyFill="1" applyBorder="1" applyAlignment="1">
      <alignment horizontal="center"/>
    </xf>
    <xf numFmtId="164" fontId="0" fillId="7" borderId="26" xfId="2" applyNumberFormat="1" applyFont="1" applyFill="1" applyBorder="1" applyAlignment="1">
      <alignment horizontal="center"/>
    </xf>
    <xf numFmtId="3" fontId="0" fillId="7" borderId="45" xfId="2" applyNumberFormat="1" applyFont="1" applyFill="1" applyBorder="1" applyAlignment="1">
      <alignment horizontal="center"/>
    </xf>
    <xf numFmtId="3" fontId="0" fillId="7" borderId="47" xfId="2" applyNumberFormat="1" applyFont="1" applyFill="1" applyBorder="1" applyAlignment="1">
      <alignment horizontal="center"/>
    </xf>
    <xf numFmtId="164" fontId="0" fillId="7" borderId="17" xfId="2" applyNumberFormat="1" applyFont="1" applyFill="1" applyBorder="1" applyAlignment="1">
      <alignment horizontal="center"/>
    </xf>
    <xf numFmtId="3" fontId="0" fillId="7" borderId="33" xfId="2" applyNumberFormat="1" applyFont="1" applyFill="1" applyBorder="1" applyAlignment="1">
      <alignment horizontal="center"/>
    </xf>
    <xf numFmtId="3" fontId="0" fillId="7" borderId="25" xfId="2" applyNumberFormat="1" applyFont="1" applyFill="1" applyBorder="1" applyAlignment="1">
      <alignment horizontal="center"/>
    </xf>
    <xf numFmtId="164" fontId="0" fillId="7" borderId="27" xfId="2" applyNumberFormat="1" applyFont="1" applyFill="1" applyBorder="1" applyAlignment="1">
      <alignment horizontal="center"/>
    </xf>
    <xf numFmtId="3" fontId="0" fillId="7" borderId="28" xfId="0" applyNumberFormat="1" applyFill="1" applyBorder="1"/>
    <xf numFmtId="3" fontId="0" fillId="7" borderId="41" xfId="0" applyNumberFormat="1" applyFill="1" applyBorder="1"/>
    <xf numFmtId="3" fontId="0" fillId="7" borderId="50" xfId="0" applyNumberFormat="1" applyFill="1" applyBorder="1"/>
    <xf numFmtId="3" fontId="0" fillId="7" borderId="31" xfId="0" applyNumberFormat="1" applyFill="1" applyBorder="1"/>
    <xf numFmtId="3" fontId="0" fillId="7" borderId="7" xfId="0" applyNumberFormat="1" applyFill="1" applyBorder="1"/>
    <xf numFmtId="3" fontId="0" fillId="7" borderId="13" xfId="0" applyNumberFormat="1" applyFill="1" applyBorder="1"/>
    <xf numFmtId="3" fontId="0" fillId="7" borderId="33" xfId="0" applyNumberFormat="1" applyFill="1" applyBorder="1"/>
    <xf numFmtId="3" fontId="0" fillId="7" borderId="24" xfId="0" applyNumberFormat="1" applyFill="1" applyBorder="1"/>
    <xf numFmtId="3" fontId="0" fillId="7" borderId="23" xfId="0" applyNumberFormat="1" applyFill="1" applyBorder="1"/>
    <xf numFmtId="3" fontId="0" fillId="7" borderId="45" xfId="0" applyNumberFormat="1" applyFill="1" applyBorder="1"/>
    <xf numFmtId="3" fontId="0" fillId="7" borderId="46" xfId="0" applyNumberFormat="1" applyFill="1" applyBorder="1"/>
    <xf numFmtId="3" fontId="0" fillId="7" borderId="16" xfId="0" applyNumberFormat="1" applyFill="1" applyBorder="1"/>
    <xf numFmtId="164" fontId="0" fillId="0" borderId="42" xfId="2" applyNumberFormat="1" applyFont="1" applyBorder="1"/>
    <xf numFmtId="164" fontId="0" fillId="0" borderId="10" xfId="2" applyNumberFormat="1" applyFont="1" applyBorder="1"/>
    <xf numFmtId="164" fontId="0" fillId="0" borderId="27" xfId="2" applyNumberFormat="1" applyFont="1" applyBorder="1"/>
    <xf numFmtId="3" fontId="0" fillId="0" borderId="38" xfId="0" applyNumberFormat="1" applyBorder="1"/>
    <xf numFmtId="3" fontId="0" fillId="0" borderId="31" xfId="0" quotePrefix="1" applyNumberFormat="1" applyBorder="1"/>
    <xf numFmtId="3" fontId="0" fillId="7" borderId="29" xfId="0" applyNumberFormat="1" applyFill="1" applyBorder="1"/>
    <xf numFmtId="3" fontId="0" fillId="7" borderId="30" xfId="0" applyNumberFormat="1" applyFill="1" applyBorder="1"/>
    <xf numFmtId="3" fontId="0" fillId="7" borderId="47" xfId="0" applyNumberFormat="1" applyFill="1" applyBorder="1"/>
    <xf numFmtId="3" fontId="0" fillId="7" borderId="49" xfId="0" applyNumberFormat="1" applyFill="1" applyBorder="1"/>
    <xf numFmtId="3" fontId="0" fillId="7" borderId="1" xfId="0" applyNumberFormat="1" applyFill="1" applyBorder="1"/>
    <xf numFmtId="3" fontId="0" fillId="7" borderId="32" xfId="0" applyNumberFormat="1" applyFill="1" applyBorder="1"/>
    <xf numFmtId="3" fontId="0" fillId="7" borderId="25" xfId="0" applyNumberFormat="1" applyFill="1" applyBorder="1"/>
    <xf numFmtId="3" fontId="0" fillId="7" borderId="34" xfId="0" applyNumberFormat="1" applyFill="1" applyBorder="1"/>
    <xf numFmtId="3" fontId="0" fillId="0" borderId="39" xfId="0" applyNumberFormat="1" applyBorder="1"/>
    <xf numFmtId="0" fontId="0" fillId="0" borderId="1" xfId="0" applyBorder="1" applyAlignment="1">
      <alignment vertical="center" wrapText="1"/>
    </xf>
    <xf numFmtId="0" fontId="0" fillId="0" borderId="1" xfId="0" applyBorder="1" applyAlignment="1"/>
    <xf numFmtId="1" fontId="0" fillId="0" borderId="1" xfId="0" applyNumberFormat="1" applyBorder="1" applyAlignment="1">
      <alignment vertical="center" wrapText="1"/>
    </xf>
    <xf numFmtId="0" fontId="0" fillId="0" borderId="1" xfId="0" applyBorder="1" applyAlignment="1">
      <alignment horizontal="left"/>
    </xf>
    <xf numFmtId="166" fontId="14" fillId="4" borderId="55" xfId="3" applyNumberFormat="1" applyFont="1" applyFill="1" applyBorder="1" applyAlignment="1">
      <alignment horizontal="center" vertical="center" wrapText="1"/>
    </xf>
    <xf numFmtId="166" fontId="16" fillId="5" borderId="17" xfId="3" applyNumberFormat="1" applyFont="1" applyFill="1" applyBorder="1" applyAlignment="1">
      <alignment vertical="center" wrapText="1"/>
    </xf>
    <xf numFmtId="1" fontId="0" fillId="0" borderId="10" xfId="0" applyNumberFormat="1" applyBorder="1"/>
    <xf numFmtId="166" fontId="0" fillId="0" borderId="1" xfId="0" applyNumberFormat="1" applyBorder="1"/>
    <xf numFmtId="3" fontId="0" fillId="7" borderId="38" xfId="0" applyNumberFormat="1" applyFill="1" applyBorder="1" applyAlignment="1">
      <alignment horizontal="center"/>
    </xf>
    <xf numFmtId="3" fontId="0" fillId="7" borderId="8" xfId="0" applyNumberFormat="1" applyFill="1" applyBorder="1" applyAlignment="1">
      <alignment horizontal="center"/>
    </xf>
    <xf numFmtId="0" fontId="0" fillId="0" borderId="0" xfId="0" applyBorder="1" applyAlignment="1"/>
    <xf numFmtId="0" fontId="0" fillId="0" borderId="0" xfId="0" applyFill="1" applyBorder="1" applyAlignment="1"/>
    <xf numFmtId="0" fontId="0" fillId="0" borderId="38" xfId="0" applyBorder="1" applyAlignment="1">
      <alignment vertical="center" wrapText="1"/>
    </xf>
    <xf numFmtId="3" fontId="0" fillId="0" borderId="41" xfId="0" applyNumberFormat="1" applyBorder="1" applyAlignment="1">
      <alignment horizontal="right"/>
    </xf>
    <xf numFmtId="3" fontId="0" fillId="0" borderId="46" xfId="0" applyNumberFormat="1" applyBorder="1" applyAlignment="1">
      <alignment horizontal="right"/>
    </xf>
    <xf numFmtId="3" fontId="0" fillId="0" borderId="7" xfId="0" applyNumberFormat="1" applyBorder="1" applyAlignment="1">
      <alignment horizontal="right"/>
    </xf>
    <xf numFmtId="3" fontId="0" fillId="0" borderId="7" xfId="2" applyNumberFormat="1" applyFont="1" applyBorder="1"/>
    <xf numFmtId="3" fontId="0" fillId="0" borderId="9" xfId="2" applyNumberFormat="1" applyFont="1" applyBorder="1"/>
    <xf numFmtId="0" fontId="0" fillId="0" borderId="31" xfId="0" applyBorder="1" applyAlignment="1">
      <alignment vertical="center" wrapText="1"/>
    </xf>
    <xf numFmtId="0" fontId="0" fillId="0" borderId="0" xfId="0" applyFill="1" applyBorder="1" applyAlignment="1">
      <alignment horizontal="center"/>
    </xf>
    <xf numFmtId="16" fontId="0" fillId="0" borderId="0" xfId="0" applyNumberFormat="1"/>
    <xf numFmtId="1" fontId="0" fillId="0" borderId="28" xfId="0" applyNumberFormat="1" applyBorder="1" applyAlignment="1">
      <alignment vertical="center" wrapText="1"/>
    </xf>
    <xf numFmtId="1" fontId="0" fillId="0" borderId="31" xfId="0" applyNumberFormat="1" applyBorder="1" applyAlignment="1">
      <alignment vertical="center" wrapText="1"/>
    </xf>
    <xf numFmtId="1" fontId="0" fillId="0" borderId="33" xfId="0" applyNumberFormat="1" applyBorder="1" applyAlignment="1">
      <alignment vertical="center" wrapText="1"/>
    </xf>
    <xf numFmtId="9" fontId="0" fillId="2" borderId="1" xfId="2" applyFont="1" applyFill="1" applyBorder="1"/>
    <xf numFmtId="9" fontId="0" fillId="8" borderId="1" xfId="2" applyFont="1" applyFill="1" applyBorder="1"/>
    <xf numFmtId="168" fontId="0" fillId="8" borderId="1" xfId="2" applyNumberFormat="1" applyFont="1" applyFill="1" applyBorder="1"/>
    <xf numFmtId="0" fontId="0" fillId="0" borderId="66" xfId="0" applyBorder="1"/>
    <xf numFmtId="0" fontId="0" fillId="0" borderId="64" xfId="0" applyBorder="1"/>
    <xf numFmtId="0" fontId="0" fillId="0" borderId="28" xfId="0" applyBorder="1" applyAlignment="1">
      <alignment vertical="center" wrapText="1"/>
    </xf>
    <xf numFmtId="0" fontId="0" fillId="0" borderId="30" xfId="0" applyBorder="1"/>
    <xf numFmtId="3" fontId="0" fillId="0" borderId="41" xfId="2" applyNumberFormat="1" applyFont="1" applyBorder="1"/>
    <xf numFmtId="3" fontId="0" fillId="0" borderId="46" xfId="2" applyNumberFormat="1" applyFont="1" applyBorder="1"/>
    <xf numFmtId="0" fontId="0" fillId="0" borderId="39" xfId="0" applyBorder="1"/>
    <xf numFmtId="3" fontId="0" fillId="7" borderId="41" xfId="2" applyNumberFormat="1" applyFont="1" applyFill="1" applyBorder="1" applyAlignment="1">
      <alignment horizontal="center"/>
    </xf>
    <xf numFmtId="3" fontId="0" fillId="7" borderId="7" xfId="2" applyNumberFormat="1" applyFont="1" applyFill="1" applyBorder="1" applyAlignment="1">
      <alignment horizontal="center"/>
    </xf>
    <xf numFmtId="3" fontId="0" fillId="7" borderId="9" xfId="2" applyNumberFormat="1" applyFont="1" applyFill="1" applyBorder="1" applyAlignment="1">
      <alignment horizontal="center"/>
    </xf>
    <xf numFmtId="3" fontId="0" fillId="7" borderId="46" xfId="2" applyNumberFormat="1" applyFont="1" applyFill="1" applyBorder="1" applyAlignment="1">
      <alignment horizontal="center"/>
    </xf>
    <xf numFmtId="0" fontId="0" fillId="0" borderId="29" xfId="0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29" xfId="0" applyBorder="1" applyAlignment="1">
      <alignment horizontal="left"/>
    </xf>
    <xf numFmtId="0" fontId="0" fillId="0" borderId="8" xfId="0" applyBorder="1" applyAlignment="1">
      <alignment horizontal="left"/>
    </xf>
    <xf numFmtId="0" fontId="0" fillId="0" borderId="25" xfId="0" applyBorder="1" applyAlignment="1">
      <alignment horizontal="left" vertical="center" wrapText="1"/>
    </xf>
    <xf numFmtId="3" fontId="0" fillId="7" borderId="24" xfId="2" applyNumberFormat="1" applyFont="1" applyFill="1" applyBorder="1" applyAlignment="1">
      <alignment horizontal="center"/>
    </xf>
    <xf numFmtId="0" fontId="0" fillId="8" borderId="1" xfId="0" applyFill="1" applyBorder="1"/>
    <xf numFmtId="169" fontId="0" fillId="0" borderId="1" xfId="2" applyNumberFormat="1" applyFont="1" applyBorder="1"/>
    <xf numFmtId="0" fontId="0" fillId="0" borderId="26" xfId="0" applyBorder="1"/>
    <xf numFmtId="2" fontId="0" fillId="0" borderId="0" xfId="0" applyNumberFormat="1"/>
    <xf numFmtId="0" fontId="0" fillId="0" borderId="45" xfId="0" applyBorder="1"/>
    <xf numFmtId="3" fontId="0" fillId="0" borderId="49" xfId="0" applyNumberFormat="1" applyBorder="1"/>
    <xf numFmtId="2" fontId="0" fillId="0" borderId="1" xfId="0" applyNumberFormat="1" applyFill="1" applyBorder="1"/>
    <xf numFmtId="1" fontId="0" fillId="0" borderId="1" xfId="0" applyNumberFormat="1" applyFill="1" applyBorder="1"/>
    <xf numFmtId="170" fontId="0" fillId="0" borderId="1" xfId="0" applyNumberFormat="1" applyFill="1" applyBorder="1"/>
    <xf numFmtId="166" fontId="19" fillId="0" borderId="1" xfId="0" applyNumberFormat="1" applyFont="1" applyFill="1" applyBorder="1" applyAlignment="1">
      <alignment vertical="center"/>
    </xf>
    <xf numFmtId="0" fontId="16" fillId="9" borderId="1" xfId="0" applyFont="1" applyFill="1" applyBorder="1" applyAlignment="1">
      <alignment horizontal="center" vertical="center" wrapText="1"/>
    </xf>
    <xf numFmtId="0" fontId="16" fillId="9" borderId="1" xfId="0" applyFont="1" applyFill="1" applyBorder="1" applyAlignment="1">
      <alignment vertical="center"/>
    </xf>
    <xf numFmtId="0" fontId="17" fillId="9" borderId="1" xfId="4" applyFont="1" applyFill="1" applyBorder="1" applyAlignment="1">
      <alignment horizontal="center"/>
    </xf>
    <xf numFmtId="3" fontId="17" fillId="9" borderId="1" xfId="4" applyNumberFormat="1" applyFont="1" applyFill="1" applyBorder="1" applyAlignment="1">
      <alignment horizontal="center" wrapText="1"/>
    </xf>
    <xf numFmtId="166" fontId="16" fillId="9" borderId="1" xfId="3" applyNumberFormat="1" applyFont="1" applyFill="1" applyBorder="1" applyAlignment="1">
      <alignment horizontal="center" vertical="center" wrapText="1"/>
    </xf>
    <xf numFmtId="166" fontId="16" fillId="9" borderId="10" xfId="3" applyNumberFormat="1" applyFont="1" applyFill="1" applyBorder="1" applyAlignment="1">
      <alignment vertical="center" wrapText="1"/>
    </xf>
    <xf numFmtId="166" fontId="16" fillId="9" borderId="45" xfId="3" applyNumberFormat="1" applyFont="1" applyFill="1" applyBorder="1" applyAlignment="1">
      <alignment vertical="center" wrapText="1"/>
    </xf>
    <xf numFmtId="166" fontId="16" fillId="9" borderId="47" xfId="3" applyNumberFormat="1" applyFont="1" applyFill="1" applyBorder="1" applyAlignment="1">
      <alignment vertical="center" wrapText="1"/>
    </xf>
    <xf numFmtId="166" fontId="16" fillId="9" borderId="49" xfId="3" applyNumberFormat="1" applyFont="1" applyFill="1" applyBorder="1" applyAlignment="1">
      <alignment vertical="center" wrapText="1"/>
    </xf>
    <xf numFmtId="166" fontId="16" fillId="9" borderId="31" xfId="3" applyNumberFormat="1" applyFont="1" applyFill="1" applyBorder="1" applyAlignment="1">
      <alignment vertical="center" wrapText="1"/>
    </xf>
    <xf numFmtId="166" fontId="16" fillId="9" borderId="1" xfId="3" applyNumberFormat="1" applyFont="1" applyFill="1" applyBorder="1" applyAlignment="1">
      <alignment vertical="center" wrapText="1"/>
    </xf>
    <xf numFmtId="166" fontId="16" fillId="9" borderId="32" xfId="3" applyNumberFormat="1" applyFont="1" applyFill="1" applyBorder="1" applyAlignment="1">
      <alignment vertical="center" wrapText="1"/>
    </xf>
    <xf numFmtId="165" fontId="0" fillId="0" borderId="32" xfId="0" applyNumberFormat="1" applyBorder="1"/>
    <xf numFmtId="1" fontId="0" fillId="0" borderId="32" xfId="0" applyNumberFormat="1" applyBorder="1"/>
    <xf numFmtId="171" fontId="20" fillId="0" borderId="1" xfId="3" applyNumberFormat="1" applyFont="1" applyFill="1" applyBorder="1" applyAlignment="1">
      <alignment vertical="center" wrapText="1"/>
    </xf>
    <xf numFmtId="9" fontId="0" fillId="0" borderId="1" xfId="2" applyFont="1" applyBorder="1"/>
    <xf numFmtId="9" fontId="0" fillId="0" borderId="31" xfId="2" applyFont="1" applyBorder="1"/>
    <xf numFmtId="9" fontId="0" fillId="0" borderId="32" xfId="2" applyFont="1" applyBorder="1"/>
    <xf numFmtId="9" fontId="0" fillId="0" borderId="33" xfId="2" applyFont="1" applyBorder="1"/>
    <xf numFmtId="9" fontId="0" fillId="0" borderId="34" xfId="2" applyFont="1" applyBorder="1"/>
    <xf numFmtId="0" fontId="0" fillId="0" borderId="35" xfId="0" applyBorder="1"/>
    <xf numFmtId="0" fontId="0" fillId="0" borderId="37" xfId="0" applyBorder="1"/>
    <xf numFmtId="9" fontId="0" fillId="0" borderId="45" xfId="2" applyFont="1" applyBorder="1"/>
    <xf numFmtId="9" fontId="0" fillId="0" borderId="49" xfId="2" applyFont="1" applyBorder="1"/>
    <xf numFmtId="0" fontId="0" fillId="0" borderId="2" xfId="0" applyBorder="1"/>
    <xf numFmtId="0" fontId="0" fillId="0" borderId="53" xfId="0" applyBorder="1"/>
    <xf numFmtId="0" fontId="0" fillId="0" borderId="54" xfId="0" applyBorder="1"/>
    <xf numFmtId="0" fontId="0" fillId="0" borderId="67" xfId="0" applyBorder="1"/>
    <xf numFmtId="0" fontId="0" fillId="0" borderId="68" xfId="0" applyBorder="1"/>
    <xf numFmtId="0" fontId="0" fillId="0" borderId="69" xfId="0" applyBorder="1"/>
    <xf numFmtId="9" fontId="0" fillId="0" borderId="1" xfId="2" applyFont="1" applyFill="1" applyBorder="1"/>
    <xf numFmtId="9" fontId="0" fillId="0" borderId="31" xfId="2" applyFont="1" applyFill="1" applyBorder="1"/>
    <xf numFmtId="9" fontId="0" fillId="0" borderId="25" xfId="2" applyFont="1" applyBorder="1"/>
    <xf numFmtId="9" fontId="0" fillId="0" borderId="47" xfId="2" applyFont="1" applyBorder="1"/>
    <xf numFmtId="0" fontId="0" fillId="0" borderId="51" xfId="0" applyBorder="1"/>
    <xf numFmtId="0" fontId="0" fillId="0" borderId="63" xfId="0" applyBorder="1"/>
    <xf numFmtId="0" fontId="0" fillId="0" borderId="62" xfId="0" applyBorder="1"/>
    <xf numFmtId="0" fontId="0" fillId="0" borderId="46" xfId="0" applyBorder="1"/>
    <xf numFmtId="3" fontId="0" fillId="0" borderId="10" xfId="0" applyNumberFormat="1" applyBorder="1"/>
    <xf numFmtId="165" fontId="0" fillId="0" borderId="10" xfId="0" applyNumberFormat="1" applyBorder="1"/>
    <xf numFmtId="166" fontId="0" fillId="0" borderId="25" xfId="0" applyNumberFormat="1" applyBorder="1"/>
    <xf numFmtId="0" fontId="14" fillId="4" borderId="71" xfId="3" applyNumberFormat="1" applyFont="1" applyFill="1" applyBorder="1" applyAlignment="1">
      <alignment horizontal="center" vertical="center" wrapText="1"/>
    </xf>
    <xf numFmtId="166" fontId="16" fillId="5" borderId="46" xfId="3" applyNumberFormat="1" applyFont="1" applyFill="1" applyBorder="1" applyAlignment="1">
      <alignment vertical="center" wrapText="1"/>
    </xf>
    <xf numFmtId="2" fontId="0" fillId="0" borderId="10" xfId="0" applyNumberFormat="1" applyBorder="1"/>
    <xf numFmtId="2" fontId="0" fillId="0" borderId="27" xfId="0" applyNumberFormat="1" applyBorder="1"/>
    <xf numFmtId="0" fontId="0" fillId="0" borderId="31" xfId="0" quotePrefix="1" applyBorder="1"/>
    <xf numFmtId="166" fontId="14" fillId="4" borderId="54" xfId="3" applyNumberFormat="1" applyFont="1" applyFill="1" applyBorder="1" applyAlignment="1">
      <alignment horizontal="center" vertical="center" wrapText="1"/>
    </xf>
    <xf numFmtId="0" fontId="0" fillId="0" borderId="56" xfId="0" applyBorder="1"/>
    <xf numFmtId="165" fontId="0" fillId="0" borderId="34" xfId="0" applyNumberFormat="1" applyBorder="1"/>
    <xf numFmtId="9" fontId="0" fillId="2" borderId="45" xfId="2" applyFont="1" applyFill="1" applyBorder="1"/>
    <xf numFmtId="9" fontId="0" fillId="2" borderId="31" xfId="2" applyFont="1" applyFill="1" applyBorder="1"/>
    <xf numFmtId="9" fontId="0" fillId="2" borderId="33" xfId="2" applyFont="1" applyFill="1" applyBorder="1"/>
    <xf numFmtId="0" fontId="0" fillId="0" borderId="57" xfId="0" applyBorder="1"/>
    <xf numFmtId="9" fontId="0" fillId="0" borderId="15" xfId="2" applyFont="1" applyBorder="1"/>
    <xf numFmtId="9" fontId="0" fillId="0" borderId="11" xfId="2" applyFont="1" applyBorder="1"/>
    <xf numFmtId="9" fontId="0" fillId="0" borderId="22" xfId="2" applyFont="1" applyBorder="1"/>
    <xf numFmtId="0" fontId="0" fillId="0" borderId="72" xfId="0" applyBorder="1"/>
    <xf numFmtId="9" fontId="0" fillId="2" borderId="17" xfId="2" applyFont="1" applyFill="1" applyBorder="1"/>
    <xf numFmtId="0" fontId="0" fillId="0" borderId="73" xfId="0" applyBorder="1"/>
    <xf numFmtId="9" fontId="0" fillId="0" borderId="46" xfId="2" applyFont="1" applyBorder="1"/>
    <xf numFmtId="9" fontId="0" fillId="0" borderId="7" xfId="2" applyFont="1" applyBorder="1"/>
    <xf numFmtId="9" fontId="0" fillId="0" borderId="7" xfId="2" applyFont="1" applyFill="1" applyBorder="1"/>
    <xf numFmtId="9" fontId="0" fillId="0" borderId="24" xfId="2" applyFont="1" applyBorder="1"/>
    <xf numFmtId="9" fontId="0" fillId="0" borderId="57" xfId="2" applyFont="1" applyBorder="1"/>
    <xf numFmtId="165" fontId="0" fillId="0" borderId="0" xfId="2" applyNumberFormat="1" applyFont="1" applyFill="1" applyBorder="1"/>
    <xf numFmtId="4" fontId="22" fillId="0" borderId="0" xfId="7" applyNumberFormat="1" applyFont="1" applyFill="1" applyAlignment="1">
      <alignment horizontal="right" vertical="center"/>
    </xf>
    <xf numFmtId="0" fontId="14" fillId="4" borderId="28" xfId="0" applyFont="1" applyFill="1" applyBorder="1" applyAlignment="1">
      <alignment horizontal="center" vertical="center" wrapText="1"/>
    </xf>
    <xf numFmtId="0" fontId="14" fillId="4" borderId="29" xfId="0" applyFont="1" applyFill="1" applyBorder="1" applyAlignment="1">
      <alignment horizontal="center" vertical="center" wrapText="1"/>
    </xf>
    <xf numFmtId="0" fontId="14" fillId="4" borderId="29" xfId="0" applyFont="1" applyFill="1" applyBorder="1" applyAlignment="1">
      <alignment horizontal="center" vertical="center"/>
    </xf>
    <xf numFmtId="3" fontId="15" fillId="4" borderId="29" xfId="0" applyNumberFormat="1" applyFont="1" applyFill="1" applyBorder="1" applyAlignment="1">
      <alignment horizontal="center" vertical="center" wrapText="1"/>
    </xf>
    <xf numFmtId="166" fontId="14" fillId="4" borderId="29" xfId="3" applyNumberFormat="1" applyFont="1" applyFill="1" applyBorder="1" applyAlignment="1">
      <alignment horizontal="center" vertical="center" wrapText="1"/>
    </xf>
    <xf numFmtId="166" fontId="14" fillId="4" borderId="30" xfId="3" applyNumberFormat="1" applyFont="1" applyFill="1" applyBorder="1" applyAlignment="1">
      <alignment horizontal="center" vertical="center" wrapText="1"/>
    </xf>
    <xf numFmtId="0" fontId="16" fillId="5" borderId="31" xfId="0" applyFont="1" applyFill="1" applyBorder="1" applyAlignment="1">
      <alignment horizontal="center" vertical="center" wrapText="1"/>
    </xf>
    <xf numFmtId="166" fontId="16" fillId="5" borderId="32" xfId="3" applyNumberFormat="1" applyFont="1" applyFill="1" applyBorder="1" applyAlignment="1">
      <alignment vertical="center" wrapText="1"/>
    </xf>
    <xf numFmtId="166" fontId="20" fillId="0" borderId="32" xfId="3" applyNumberFormat="1" applyFont="1" applyFill="1" applyBorder="1" applyAlignment="1">
      <alignment horizontal="center" vertical="center" wrapText="1"/>
    </xf>
    <xf numFmtId="0" fontId="14" fillId="0" borderId="33" xfId="0" applyFont="1" applyFill="1" applyBorder="1" applyAlignment="1">
      <alignment horizontal="center" vertical="center"/>
    </xf>
    <xf numFmtId="0" fontId="18" fillId="6" borderId="25" xfId="0" applyFont="1" applyFill="1" applyBorder="1" applyAlignment="1">
      <alignment horizontal="center" vertical="center" wrapText="1"/>
    </xf>
    <xf numFmtId="0" fontId="19" fillId="0" borderId="25" xfId="0" applyFont="1" applyFill="1" applyBorder="1" applyAlignment="1">
      <alignment vertical="center"/>
    </xf>
    <xf numFmtId="0" fontId="19" fillId="0" borderId="25" xfId="0" applyFont="1" applyFill="1" applyBorder="1" applyAlignment="1">
      <alignment horizontal="center" vertical="center"/>
    </xf>
    <xf numFmtId="3" fontId="19" fillId="0" borderId="25" xfId="0" applyNumberFormat="1" applyFont="1" applyFill="1" applyBorder="1" applyAlignment="1">
      <alignment horizontal="center" vertical="center"/>
    </xf>
    <xf numFmtId="166" fontId="20" fillId="0" borderId="25" xfId="3" applyNumberFormat="1" applyFont="1" applyFill="1" applyBorder="1" applyAlignment="1">
      <alignment vertical="center" wrapText="1"/>
    </xf>
    <xf numFmtId="166" fontId="20" fillId="0" borderId="34" xfId="3" applyNumberFormat="1" applyFont="1" applyFill="1" applyBorder="1" applyAlignment="1">
      <alignment horizontal="center" vertical="center" wrapText="1"/>
    </xf>
    <xf numFmtId="3" fontId="14" fillId="0" borderId="57" xfId="0" applyNumberFormat="1" applyFont="1" applyBorder="1" applyAlignment="1">
      <alignment horizontal="center"/>
    </xf>
    <xf numFmtId="3" fontId="14" fillId="0" borderId="58" xfId="3" applyNumberFormat="1" applyFont="1" applyBorder="1" applyAlignment="1">
      <alignment horizontal="center"/>
    </xf>
    <xf numFmtId="0" fontId="19" fillId="0" borderId="31" xfId="0" applyFont="1" applyFill="1" applyBorder="1" applyAlignment="1">
      <alignment horizontal="center" vertical="center"/>
    </xf>
    <xf numFmtId="0" fontId="17" fillId="5" borderId="31" xfId="0" applyFont="1" applyFill="1" applyBorder="1" applyAlignment="1">
      <alignment horizontal="center" vertical="center" wrapText="1"/>
    </xf>
    <xf numFmtId="0" fontId="17" fillId="9" borderId="31" xfId="0" applyFont="1" applyFill="1" applyBorder="1" applyAlignment="1">
      <alignment horizontal="center" vertical="center" wrapText="1"/>
    </xf>
    <xf numFmtId="0" fontId="0" fillId="0" borderId="4" xfId="0" applyFill="1" applyBorder="1"/>
    <xf numFmtId="0" fontId="0" fillId="0" borderId="48" xfId="0" applyBorder="1" applyAlignment="1">
      <alignment horizontal="center"/>
    </xf>
    <xf numFmtId="0" fontId="0" fillId="0" borderId="45" xfId="0" applyBorder="1" applyAlignment="1">
      <alignment horizontal="center"/>
    </xf>
    <xf numFmtId="0" fontId="0" fillId="0" borderId="47" xfId="0" applyBorder="1" applyAlignment="1">
      <alignment horizontal="center"/>
    </xf>
    <xf numFmtId="0" fontId="0" fillId="0" borderId="49" xfId="0" applyBorder="1" applyAlignment="1">
      <alignment horizontal="center"/>
    </xf>
    <xf numFmtId="1" fontId="0" fillId="0" borderId="31" xfId="0" applyNumberFormat="1" applyBorder="1"/>
    <xf numFmtId="9" fontId="0" fillId="2" borderId="49" xfId="2" applyFont="1" applyFill="1" applyBorder="1"/>
    <xf numFmtId="9" fontId="0" fillId="2" borderId="62" xfId="2" applyFont="1" applyFill="1" applyBorder="1"/>
    <xf numFmtId="0" fontId="0" fillId="0" borderId="2" xfId="0" applyBorder="1" applyAlignment="1"/>
    <xf numFmtId="9" fontId="0" fillId="0" borderId="48" xfId="2" applyFont="1" applyBorder="1"/>
    <xf numFmtId="9" fontId="0" fillId="0" borderId="20" xfId="2" applyFont="1" applyBorder="1"/>
    <xf numFmtId="9" fontId="0" fillId="0" borderId="21" xfId="2" applyFont="1" applyBorder="1"/>
    <xf numFmtId="9" fontId="0" fillId="0" borderId="16" xfId="2" applyFont="1" applyBorder="1"/>
    <xf numFmtId="9" fontId="0" fillId="0" borderId="58" xfId="2" applyFont="1" applyBorder="1"/>
    <xf numFmtId="9" fontId="0" fillId="2" borderId="28" xfId="2" applyFont="1" applyFill="1" applyBorder="1"/>
    <xf numFmtId="9" fontId="0" fillId="2" borderId="30" xfId="2" applyFont="1" applyFill="1" applyBorder="1"/>
    <xf numFmtId="166" fontId="0" fillId="0" borderId="0" xfId="0" applyNumberFormat="1"/>
    <xf numFmtId="0" fontId="23" fillId="0" borderId="44" xfId="0" applyFont="1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center" wrapText="1"/>
    </xf>
    <xf numFmtId="0" fontId="0" fillId="0" borderId="74" xfId="0" applyBorder="1" applyAlignment="1">
      <alignment vertical="center" wrapText="1"/>
    </xf>
    <xf numFmtId="0" fontId="0" fillId="0" borderId="58" xfId="0" applyBorder="1" applyAlignment="1">
      <alignment vertical="center" wrapText="1"/>
    </xf>
    <xf numFmtId="3" fontId="0" fillId="0" borderId="58" xfId="0" applyNumberFormat="1" applyBorder="1" applyAlignment="1">
      <alignment horizontal="right" vertical="center" wrapText="1"/>
    </xf>
    <xf numFmtId="0" fontId="0" fillId="0" borderId="58" xfId="0" applyBorder="1" applyAlignment="1">
      <alignment horizontal="right" vertical="center" wrapText="1"/>
    </xf>
    <xf numFmtId="0" fontId="24" fillId="0" borderId="0" xfId="0" applyFont="1" applyAlignment="1">
      <alignment horizontal="justify" vertical="center"/>
    </xf>
    <xf numFmtId="0" fontId="1" fillId="0" borderId="1" xfId="0" applyFont="1" applyBorder="1" applyAlignment="1">
      <alignment horizontal="center"/>
    </xf>
    <xf numFmtId="168" fontId="0" fillId="2" borderId="1" xfId="2" applyNumberFormat="1" applyFont="1" applyFill="1" applyBorder="1"/>
    <xf numFmtId="0" fontId="19" fillId="10" borderId="1" xfId="0" applyFont="1" applyFill="1" applyBorder="1" applyAlignment="1">
      <alignment vertical="center"/>
    </xf>
    <xf numFmtId="0" fontId="19" fillId="10" borderId="1" xfId="0" applyFont="1" applyFill="1" applyBorder="1" applyAlignment="1">
      <alignment horizontal="center" vertical="center" wrapText="1"/>
    </xf>
    <xf numFmtId="166" fontId="19" fillId="0" borderId="1" xfId="8" applyNumberFormat="1" applyFont="1" applyFill="1" applyBorder="1" applyAlignment="1">
      <alignment vertical="center" wrapText="1"/>
    </xf>
    <xf numFmtId="166" fontId="16" fillId="9" borderId="46" xfId="3" applyNumberFormat="1" applyFont="1" applyFill="1" applyBorder="1" applyAlignment="1">
      <alignment vertical="center" wrapText="1"/>
    </xf>
    <xf numFmtId="166" fontId="16" fillId="9" borderId="7" xfId="3" applyNumberFormat="1" applyFont="1" applyFill="1" applyBorder="1" applyAlignment="1">
      <alignment vertical="center" wrapText="1"/>
    </xf>
    <xf numFmtId="1" fontId="0" fillId="0" borderId="34" xfId="0" applyNumberFormat="1" applyBorder="1"/>
    <xf numFmtId="0" fontId="0" fillId="0" borderId="10" xfId="0" applyFont="1" applyBorder="1"/>
    <xf numFmtId="0" fontId="1" fillId="0" borderId="1" xfId="0" applyFont="1" applyBorder="1" applyAlignment="1">
      <alignment horizontal="center"/>
    </xf>
    <xf numFmtId="168" fontId="0" fillId="0" borderId="1" xfId="2" applyNumberFormat="1" applyFont="1" applyBorder="1"/>
    <xf numFmtId="0" fontId="1" fillId="3" borderId="2" xfId="0" applyFont="1" applyFill="1" applyBorder="1" applyAlignment="1">
      <alignment horizontal="center"/>
    </xf>
    <xf numFmtId="0" fontId="1" fillId="3" borderId="5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3" xfId="0" applyBorder="1" applyAlignment="1">
      <alignment horizontal="center"/>
    </xf>
    <xf numFmtId="3" fontId="0" fillId="0" borderId="33" xfId="0" applyNumberFormat="1" applyBorder="1" applyAlignment="1">
      <alignment horizontal="center"/>
    </xf>
    <xf numFmtId="3" fontId="0" fillId="0" borderId="25" xfId="0" applyNumberFormat="1" applyBorder="1" applyAlignment="1">
      <alignment horizontal="center"/>
    </xf>
    <xf numFmtId="3" fontId="0" fillId="0" borderId="34" xfId="0" applyNumberFormat="1" applyBorder="1" applyAlignment="1">
      <alignment horizontal="center"/>
    </xf>
    <xf numFmtId="0" fontId="0" fillId="0" borderId="53" xfId="0" applyBorder="1" applyAlignment="1">
      <alignment horizontal="center"/>
    </xf>
    <xf numFmtId="0" fontId="0" fillId="0" borderId="54" xfId="0" applyBorder="1" applyAlignment="1">
      <alignment horizontal="center"/>
    </xf>
    <xf numFmtId="164" fontId="0" fillId="0" borderId="60" xfId="0" applyNumberFormat="1" applyBorder="1" applyAlignment="1">
      <alignment horizontal="center"/>
    </xf>
    <xf numFmtId="164" fontId="0" fillId="0" borderId="12" xfId="0" applyNumberFormat="1" applyBorder="1" applyAlignment="1">
      <alignment horizontal="center"/>
    </xf>
    <xf numFmtId="164" fontId="0" fillId="0" borderId="14" xfId="0" applyNumberFormat="1" applyBorder="1" applyAlignment="1">
      <alignment horizontal="center"/>
    </xf>
    <xf numFmtId="0" fontId="0" fillId="0" borderId="0" xfId="0" applyAlignment="1">
      <alignment horizontal="center"/>
    </xf>
    <xf numFmtId="3" fontId="0" fillId="0" borderId="21" xfId="0" applyNumberFormat="1" applyBorder="1" applyAlignment="1">
      <alignment horizontal="center"/>
    </xf>
    <xf numFmtId="3" fontId="0" fillId="0" borderId="22" xfId="0" applyNumberFormat="1" applyBorder="1" applyAlignment="1">
      <alignment horizontal="center"/>
    </xf>
    <xf numFmtId="3" fontId="0" fillId="0" borderId="23" xfId="0" applyNumberFormat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0" fillId="2" borderId="43" xfId="0" applyFill="1" applyBorder="1" applyAlignment="1">
      <alignment horizontal="center" vertical="center" wrapText="1"/>
    </xf>
    <xf numFmtId="0" fontId="0" fillId="2" borderId="50" xfId="0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 wrapText="1"/>
    </xf>
    <xf numFmtId="0" fontId="0" fillId="2" borderId="5" xfId="0" applyFill="1" applyBorder="1" applyAlignment="1">
      <alignment horizontal="center" vertical="center" wrapText="1"/>
    </xf>
    <xf numFmtId="0" fontId="0" fillId="2" borderId="3" xfId="0" applyFill="1" applyBorder="1" applyAlignment="1">
      <alignment horizontal="center" vertical="center" wrapText="1"/>
    </xf>
    <xf numFmtId="0" fontId="0" fillId="0" borderId="19" xfId="0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50" xfId="0" applyBorder="1" applyAlignment="1">
      <alignment horizontal="center"/>
    </xf>
    <xf numFmtId="3" fontId="0" fillId="0" borderId="20" xfId="0" applyNumberFormat="1" applyBorder="1" applyAlignment="1">
      <alignment horizontal="center"/>
    </xf>
    <xf numFmtId="3" fontId="0" fillId="0" borderId="11" xfId="0" applyNumberFormat="1" applyBorder="1" applyAlignment="1">
      <alignment horizontal="center"/>
    </xf>
    <xf numFmtId="3" fontId="0" fillId="0" borderId="13" xfId="0" applyNumberFormat="1" applyBorder="1" applyAlignment="1">
      <alignment horizontal="center"/>
    </xf>
    <xf numFmtId="164" fontId="0" fillId="0" borderId="20" xfId="0" applyNumberFormat="1" applyBorder="1" applyAlignment="1">
      <alignment horizontal="center"/>
    </xf>
    <xf numFmtId="164" fontId="0" fillId="0" borderId="11" xfId="0" applyNumberFormat="1" applyBorder="1" applyAlignment="1">
      <alignment horizontal="center"/>
    </xf>
    <xf numFmtId="164" fontId="0" fillId="0" borderId="13" xfId="0" applyNumberFormat="1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48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3" fontId="0" fillId="0" borderId="31" xfId="0" applyNumberFormat="1" applyBorder="1" applyAlignment="1">
      <alignment horizontal="center"/>
    </xf>
    <xf numFmtId="3" fontId="0" fillId="0" borderId="1" xfId="0" applyNumberFormat="1" applyBorder="1" applyAlignment="1">
      <alignment horizontal="center"/>
    </xf>
    <xf numFmtId="3" fontId="0" fillId="0" borderId="32" xfId="0" applyNumberFormat="1" applyBorder="1" applyAlignment="1">
      <alignment horizontal="center"/>
    </xf>
    <xf numFmtId="0" fontId="0" fillId="0" borderId="55" xfId="0" applyBorder="1" applyAlignment="1">
      <alignment horizontal="center"/>
    </xf>
    <xf numFmtId="0" fontId="0" fillId="0" borderId="45" xfId="0" applyBorder="1" applyAlignment="1">
      <alignment horizontal="center"/>
    </xf>
    <xf numFmtId="0" fontId="0" fillId="0" borderId="47" xfId="0" applyBorder="1" applyAlignment="1">
      <alignment horizontal="center"/>
    </xf>
    <xf numFmtId="0" fontId="0" fillId="0" borderId="49" xfId="0" applyBorder="1" applyAlignment="1">
      <alignment horizontal="center"/>
    </xf>
    <xf numFmtId="0" fontId="0" fillId="3" borderId="2" xfId="0" applyFill="1" applyBorder="1" applyAlignment="1">
      <alignment horizontal="center" vertical="center" wrapText="1"/>
    </xf>
    <xf numFmtId="0" fontId="0" fillId="3" borderId="5" xfId="0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 wrapText="1"/>
    </xf>
    <xf numFmtId="0" fontId="0" fillId="2" borderId="42" xfId="0" applyFill="1" applyBorder="1" applyAlignment="1">
      <alignment horizontal="center" vertical="center" wrapText="1"/>
    </xf>
    <xf numFmtId="0" fontId="0" fillId="0" borderId="41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2" borderId="19" xfId="0" applyFill="1" applyBorder="1" applyAlignment="1">
      <alignment horizontal="center" vertical="center" wrapText="1"/>
    </xf>
    <xf numFmtId="0" fontId="0" fillId="2" borderId="41" xfId="0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10" xfId="0" applyBorder="1" applyAlignment="1">
      <alignment horizontal="center"/>
    </xf>
    <xf numFmtId="0" fontId="1" fillId="3" borderId="3" xfId="0" applyFont="1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72" xfId="0" applyBorder="1" applyAlignment="1">
      <alignment horizontal="center"/>
    </xf>
    <xf numFmtId="0" fontId="0" fillId="0" borderId="58" xfId="0" applyBorder="1" applyAlignment="1">
      <alignment horizontal="center"/>
    </xf>
    <xf numFmtId="0" fontId="0" fillId="0" borderId="73" xfId="0" applyBorder="1" applyAlignment="1">
      <alignment horizontal="center"/>
    </xf>
    <xf numFmtId="0" fontId="0" fillId="0" borderId="63" xfId="0" applyBorder="1" applyAlignment="1">
      <alignment horizontal="center"/>
    </xf>
    <xf numFmtId="0" fontId="0" fillId="0" borderId="57" xfId="0" applyBorder="1" applyAlignment="1">
      <alignment horizontal="center"/>
    </xf>
    <xf numFmtId="0" fontId="0" fillId="0" borderId="51" xfId="0" applyBorder="1" applyAlignment="1">
      <alignment horizontal="center"/>
    </xf>
    <xf numFmtId="9" fontId="0" fillId="0" borderId="20" xfId="2" applyFont="1" applyBorder="1" applyAlignment="1">
      <alignment horizontal="center"/>
    </xf>
    <xf numFmtId="9" fontId="0" fillId="0" borderId="11" xfId="2" applyFont="1" applyBorder="1" applyAlignment="1">
      <alignment horizontal="center"/>
    </xf>
    <xf numFmtId="9" fontId="0" fillId="0" borderId="13" xfId="2" applyFont="1" applyBorder="1" applyAlignment="1">
      <alignment horizontal="center"/>
    </xf>
    <xf numFmtId="166" fontId="14" fillId="4" borderId="2" xfId="3" applyNumberFormat="1" applyFont="1" applyFill="1" applyBorder="1" applyAlignment="1">
      <alignment horizontal="center" vertical="center" wrapText="1"/>
    </xf>
    <xf numFmtId="166" fontId="14" fillId="4" borderId="5" xfId="3" applyNumberFormat="1" applyFont="1" applyFill="1" applyBorder="1" applyAlignment="1">
      <alignment horizontal="center" vertical="center" wrapText="1"/>
    </xf>
    <xf numFmtId="166" fontId="14" fillId="4" borderId="35" xfId="3" applyNumberFormat="1" applyFont="1" applyFill="1" applyBorder="1" applyAlignment="1">
      <alignment horizontal="center" vertical="center" wrapText="1"/>
    </xf>
    <xf numFmtId="166" fontId="14" fillId="4" borderId="36" xfId="3" applyNumberFormat="1" applyFont="1" applyFill="1" applyBorder="1" applyAlignment="1">
      <alignment horizontal="center" vertical="center" wrapText="1"/>
    </xf>
    <xf numFmtId="166" fontId="14" fillId="4" borderId="65" xfId="3" applyNumberFormat="1" applyFont="1" applyFill="1" applyBorder="1" applyAlignment="1">
      <alignment horizontal="center" vertical="center" wrapText="1"/>
    </xf>
    <xf numFmtId="166" fontId="14" fillId="4" borderId="37" xfId="3" applyNumberFormat="1" applyFont="1" applyFill="1" applyBorder="1" applyAlignment="1">
      <alignment horizontal="center" vertical="center" wrapText="1"/>
    </xf>
    <xf numFmtId="166" fontId="14" fillId="4" borderId="3" xfId="3" applyNumberFormat="1" applyFont="1" applyFill="1" applyBorder="1" applyAlignment="1">
      <alignment horizontal="center" vertical="center" wrapText="1"/>
    </xf>
    <xf numFmtId="166" fontId="14" fillId="4" borderId="70" xfId="3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right"/>
    </xf>
    <xf numFmtId="0" fontId="1" fillId="0" borderId="10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1" xfId="0" applyFont="1" applyBorder="1"/>
    <xf numFmtId="168" fontId="0" fillId="0" borderId="0" xfId="0" applyNumberFormat="1"/>
  </cellXfs>
  <cellStyles count="9">
    <cellStyle name="Millares" xfId="3" builtinId="3"/>
    <cellStyle name="Millares 2" xfId="8"/>
    <cellStyle name="Normal" xfId="0" builtinId="0"/>
    <cellStyle name="Normal 2" xfId="1"/>
    <cellStyle name="Normal 2 2" xfId="5"/>
    <cellStyle name="Normal 26" xfId="6"/>
    <cellStyle name="Normal 7" xfId="7"/>
    <cellStyle name="Normal_Anexo 8" xfId="4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Impacto</a:t>
            </a:r>
            <a:r>
              <a:rPr lang="es-CL" baseline="0"/>
              <a:t> Plazo Riesgos BD Proyectos</a:t>
            </a:r>
            <a:endParaRPr lang="es-C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AEA-43B4-8BA6-3D69F5067F0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AEA-43B4-8BA6-3D69F5067F0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AEA-43B4-8BA6-3D69F5067F0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AEA-43B4-8BA6-3D69F5067F01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'Jerarq. Riesgos Plazo'!$B$64:$B$67</c:f>
              <c:strCache>
                <c:ptCount val="4"/>
                <c:pt idx="0">
                  <c:v>Licitación Ingeniería</c:v>
                </c:pt>
                <c:pt idx="1">
                  <c:v>Ingeniería</c:v>
                </c:pt>
                <c:pt idx="2">
                  <c:v>Licitación Construcción</c:v>
                </c:pt>
                <c:pt idx="3">
                  <c:v>Construcción</c:v>
                </c:pt>
              </c:strCache>
            </c:strRef>
          </c:cat>
          <c:val>
            <c:numRef>
              <c:f>'Jerarq. Riesgos Plazo'!$C$64:$C$67</c:f>
              <c:numCache>
                <c:formatCode>General</c:formatCode>
                <c:ptCount val="4"/>
                <c:pt idx="0" formatCode="#,##0.00">
                  <c:v>560.15</c:v>
                </c:pt>
                <c:pt idx="1">
                  <c:v>1858.22</c:v>
                </c:pt>
                <c:pt idx="2">
                  <c:v>716.57</c:v>
                </c:pt>
                <c:pt idx="3">
                  <c:v>4882.07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AEA-43B4-8BA6-3D69F5067F0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lang="es-CL" sz="12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</c:legendEntry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</c:legendEntry>
      <c:layout>
        <c:manualLayout>
          <c:xMode val="edge"/>
          <c:yMode val="edge"/>
          <c:x val="0.69171068343848996"/>
          <c:y val="0.2990291106709777"/>
          <c:w val="0.29407611783450538"/>
          <c:h val="0.35738752877223295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34636</xdr:colOff>
      <xdr:row>101</xdr:row>
      <xdr:rowOff>173182</xdr:rowOff>
    </xdr:from>
    <xdr:to>
      <xdr:col>3</xdr:col>
      <xdr:colOff>1454726</xdr:colOff>
      <xdr:row>131</xdr:row>
      <xdr:rowOff>51955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7455" t="15627" r="38099" b="7895"/>
        <a:stretch/>
      </xdr:blipFill>
      <xdr:spPr>
        <a:xfrm>
          <a:off x="2978727" y="20400818"/>
          <a:ext cx="7083136" cy="55937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363681</xdr:colOff>
      <xdr:row>1</xdr:row>
      <xdr:rowOff>50223</xdr:rowOff>
    </xdr:from>
    <xdr:to>
      <xdr:col>10</xdr:col>
      <xdr:colOff>225137</xdr:colOff>
      <xdr:row>24</xdr:row>
      <xdr:rowOff>154132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0101" t="31491" r="22391" b="7186"/>
        <a:stretch/>
      </xdr:blipFill>
      <xdr:spPr>
        <a:xfrm>
          <a:off x="363681" y="240723"/>
          <a:ext cx="7481456" cy="4485409"/>
        </a:xfrm>
        <a:prstGeom prst="rect">
          <a:avLst/>
        </a:prstGeom>
      </xdr:spPr>
    </xdr:pic>
    <xdr:clientData/>
  </xdr:twoCellAnchor>
  <xdr:twoCellAnchor editAs="oneCell">
    <xdr:from>
      <xdr:col>10</xdr:col>
      <xdr:colOff>331374</xdr:colOff>
      <xdr:row>2</xdr:row>
      <xdr:rowOff>42422</xdr:rowOff>
    </xdr:from>
    <xdr:to>
      <xdr:col>20</xdr:col>
      <xdr:colOff>237361</xdr:colOff>
      <xdr:row>26</xdr:row>
      <xdr:rowOff>90665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0291" t="29952" r="21859" b="6881"/>
        <a:stretch/>
      </xdr:blipFill>
      <xdr:spPr>
        <a:xfrm>
          <a:off x="7951374" y="423422"/>
          <a:ext cx="7525987" cy="462024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570265</xdr:colOff>
      <xdr:row>27</xdr:row>
      <xdr:rowOff>155864</xdr:rowOff>
    </xdr:from>
    <xdr:to>
      <xdr:col>18</xdr:col>
      <xdr:colOff>7020</xdr:colOff>
      <xdr:row>32</xdr:row>
      <xdr:rowOff>181264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0765" y="5299364"/>
          <a:ext cx="1722755" cy="9779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13</xdr:col>
      <xdr:colOff>436295</xdr:colOff>
      <xdr:row>27</xdr:row>
      <xdr:rowOff>145720</xdr:rowOff>
    </xdr:from>
    <xdr:to>
      <xdr:col>15</xdr:col>
      <xdr:colOff>443280</xdr:colOff>
      <xdr:row>32</xdr:row>
      <xdr:rowOff>171120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42795" y="5289220"/>
          <a:ext cx="1530985" cy="9779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440377</xdr:colOff>
      <xdr:row>0</xdr:row>
      <xdr:rowOff>0</xdr:rowOff>
    </xdr:from>
    <xdr:to>
      <xdr:col>23</xdr:col>
      <xdr:colOff>251113</xdr:colOff>
      <xdr:row>26</xdr:row>
      <xdr:rowOff>69472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53205" t="20850" r="16468" b="48458"/>
        <a:stretch/>
      </xdr:blipFill>
      <xdr:spPr>
        <a:xfrm>
          <a:off x="15489877" y="0"/>
          <a:ext cx="8954736" cy="509174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181839</xdr:colOff>
      <xdr:row>3</xdr:row>
      <xdr:rowOff>132050</xdr:rowOff>
    </xdr:from>
    <xdr:to>
      <xdr:col>24</xdr:col>
      <xdr:colOff>590053</xdr:colOff>
      <xdr:row>30</xdr:row>
      <xdr:rowOff>11022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6343" t="20850" r="16468" b="48458"/>
        <a:stretch/>
      </xdr:blipFill>
      <xdr:spPr>
        <a:xfrm>
          <a:off x="18123475" y="513050"/>
          <a:ext cx="8028214" cy="5022472"/>
        </a:xfrm>
        <a:prstGeom prst="rect">
          <a:avLst/>
        </a:prstGeom>
      </xdr:spPr>
    </xdr:pic>
    <xdr:clientData/>
  </xdr:twoCellAnchor>
  <xdr:twoCellAnchor>
    <xdr:from>
      <xdr:col>0</xdr:col>
      <xdr:colOff>244929</xdr:colOff>
      <xdr:row>69</xdr:row>
      <xdr:rowOff>29936</xdr:rowOff>
    </xdr:from>
    <xdr:to>
      <xdr:col>3</xdr:col>
      <xdr:colOff>2598965</xdr:colOff>
      <xdr:row>85</xdr:row>
      <xdr:rowOff>27214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Licitaciones%202018/Montaje%20y%20PEM%20Planta%20Filtrado%20de%20Agua/Estimaci&#243;n%20GG%20Planta%20Filt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imación GG"/>
    </sheetNames>
    <sheetDataSet>
      <sheetData sheetId="0">
        <row r="79">
          <cell r="H79">
            <v>229050251.80111274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94"/>
  <sheetViews>
    <sheetView zoomScale="85" zoomScaleNormal="85" workbookViewId="0">
      <selection activeCell="C16" sqref="C16"/>
    </sheetView>
  </sheetViews>
  <sheetFormatPr baseColWidth="10" defaultRowHeight="15" x14ac:dyDescent="0.25"/>
  <cols>
    <col min="1" max="1" width="23.85546875" customWidth="1"/>
    <col min="2" max="2" width="26.140625" bestFit="1" customWidth="1"/>
    <col min="3" max="3" width="84.85546875" bestFit="1" customWidth="1"/>
    <col min="4" max="4" width="27.140625" customWidth="1"/>
    <col min="5" max="5" width="16.7109375" customWidth="1"/>
    <col min="6" max="6" width="15.140625" customWidth="1"/>
    <col min="7" max="7" width="12" customWidth="1"/>
    <col min="8" max="8" width="13.5703125" customWidth="1"/>
    <col min="9" max="9" width="14" customWidth="1"/>
    <col min="10" max="10" width="12" customWidth="1"/>
    <col min="11" max="11" width="15.140625" customWidth="1"/>
    <col min="12" max="12" width="16.85546875" customWidth="1"/>
    <col min="13" max="13" width="12" customWidth="1"/>
    <col min="14" max="14" width="15.85546875" customWidth="1"/>
    <col min="15" max="15" width="14.28515625" customWidth="1"/>
    <col min="16" max="16" width="12" customWidth="1"/>
    <col min="17" max="17" width="13.5703125" customWidth="1"/>
    <col min="18" max="18" width="15" customWidth="1"/>
    <col min="19" max="19" width="12" customWidth="1"/>
    <col min="20" max="20" width="13.5703125" customWidth="1"/>
    <col min="21" max="21" width="14" customWidth="1"/>
    <col min="22" max="22" width="11.5703125" customWidth="1"/>
    <col min="23" max="23" width="14.140625" customWidth="1"/>
    <col min="24" max="24" width="15.140625" customWidth="1"/>
    <col min="25" max="25" width="11.5703125" customWidth="1"/>
    <col min="26" max="26" width="14.140625" customWidth="1"/>
    <col min="27" max="27" width="15.140625" customWidth="1"/>
    <col min="28" max="28" width="11.5703125" customWidth="1"/>
    <col min="29" max="29" width="14.140625" customWidth="1"/>
    <col min="30" max="30" width="15.140625" customWidth="1"/>
    <col min="31" max="31" width="11.5703125" customWidth="1"/>
    <col min="32" max="32" width="14.140625" customWidth="1"/>
    <col min="33" max="33" width="15.140625" customWidth="1"/>
    <col min="34" max="37" width="11.42578125" customWidth="1"/>
    <col min="38" max="38" width="13.140625" customWidth="1"/>
    <col min="39" max="39" width="13" customWidth="1"/>
    <col min="40" max="40" width="10.85546875" customWidth="1"/>
    <col min="41" max="41" width="11.42578125" customWidth="1"/>
    <col min="42" max="42" width="12.7109375" customWidth="1"/>
    <col min="43" max="43" width="10.85546875" customWidth="1"/>
    <col min="44" max="44" width="13.140625" customWidth="1"/>
    <col min="45" max="45" width="12.7109375" customWidth="1"/>
    <col min="46" max="46" width="11.42578125" customWidth="1"/>
    <col min="47" max="47" width="13.42578125" customWidth="1"/>
    <col min="48" max="48" width="12.7109375" customWidth="1"/>
    <col min="49" max="49" width="13.7109375" customWidth="1"/>
    <col min="53" max="53" width="14.28515625" customWidth="1"/>
  </cols>
  <sheetData>
    <row r="1" spans="1:54" ht="15.75" thickBot="1" x14ac:dyDescent="0.3"/>
    <row r="2" spans="1:54" ht="15.75" thickBot="1" x14ac:dyDescent="0.3">
      <c r="C2" s="26" t="s">
        <v>15</v>
      </c>
      <c r="D2" s="390" t="s">
        <v>5</v>
      </c>
      <c r="E2" s="391"/>
      <c r="F2" s="391"/>
      <c r="G2" s="391"/>
      <c r="H2" s="391"/>
      <c r="I2" s="391"/>
      <c r="J2" s="391"/>
      <c r="K2" s="391"/>
      <c r="L2" s="391"/>
      <c r="M2" s="391"/>
      <c r="N2" s="391"/>
      <c r="O2" s="391"/>
      <c r="P2" s="391"/>
      <c r="Q2" s="391"/>
      <c r="R2" s="391"/>
      <c r="S2" s="391"/>
      <c r="T2" s="391"/>
      <c r="U2" s="392"/>
      <c r="V2" s="373" t="s">
        <v>9</v>
      </c>
      <c r="W2" s="374"/>
      <c r="X2" s="374"/>
      <c r="Y2" s="374"/>
      <c r="Z2" s="374"/>
      <c r="AA2" s="430"/>
      <c r="AB2" s="390" t="s">
        <v>315</v>
      </c>
      <c r="AC2" s="391"/>
      <c r="AD2" s="391"/>
      <c r="AE2" s="391"/>
      <c r="AF2" s="391"/>
      <c r="AG2" s="392"/>
      <c r="AH2" s="390" t="s">
        <v>389</v>
      </c>
      <c r="AI2" s="391"/>
      <c r="AJ2" s="391"/>
      <c r="AK2" s="391"/>
      <c r="AL2" s="391"/>
      <c r="AM2" s="391"/>
      <c r="AN2" s="391"/>
      <c r="AO2" s="81"/>
      <c r="AP2" s="81"/>
      <c r="AQ2" s="373" t="s">
        <v>60</v>
      </c>
      <c r="AR2" s="374"/>
      <c r="AS2" s="374"/>
    </row>
    <row r="3" spans="1:54" s="1" customFormat="1" ht="31.5" customHeight="1" thickBot="1" x14ac:dyDescent="0.3">
      <c r="C3" s="27" t="s">
        <v>14</v>
      </c>
      <c r="D3" s="395" t="s">
        <v>322</v>
      </c>
      <c r="E3" s="396"/>
      <c r="F3" s="397"/>
      <c r="G3" s="395" t="s">
        <v>0</v>
      </c>
      <c r="H3" s="396"/>
      <c r="I3" s="397"/>
      <c r="J3" s="395" t="s">
        <v>1</v>
      </c>
      <c r="K3" s="396"/>
      <c r="L3" s="397"/>
      <c r="M3" s="395" t="s">
        <v>385</v>
      </c>
      <c r="N3" s="396"/>
      <c r="O3" s="397"/>
      <c r="P3" s="395" t="s">
        <v>61</v>
      </c>
      <c r="Q3" s="396"/>
      <c r="R3" s="397"/>
      <c r="S3" s="395" t="s">
        <v>58</v>
      </c>
      <c r="T3" s="396"/>
      <c r="U3" s="397"/>
      <c r="V3" s="420" t="s">
        <v>594</v>
      </c>
      <c r="W3" s="421"/>
      <c r="X3" s="422"/>
      <c r="Y3" s="420" t="s">
        <v>6</v>
      </c>
      <c r="Z3" s="421"/>
      <c r="AA3" s="422"/>
      <c r="AB3" s="395" t="s">
        <v>597</v>
      </c>
      <c r="AC3" s="396"/>
      <c r="AD3" s="397"/>
      <c r="AE3" s="393" t="s">
        <v>316</v>
      </c>
      <c r="AF3" s="393"/>
      <c r="AG3" s="394"/>
      <c r="AH3" s="426" t="s">
        <v>596</v>
      </c>
      <c r="AI3" s="393"/>
      <c r="AJ3" s="427"/>
      <c r="AK3" s="423" t="s">
        <v>564</v>
      </c>
      <c r="AL3" s="393"/>
      <c r="AM3" s="427"/>
      <c r="AN3" s="423" t="s">
        <v>565</v>
      </c>
      <c r="AO3" s="393"/>
      <c r="AP3" s="394"/>
      <c r="AQ3" s="420" t="s">
        <v>595</v>
      </c>
      <c r="AR3" s="421"/>
      <c r="AS3" s="422"/>
      <c r="AX3" s="1">
        <f>9*5*4</f>
        <v>180</v>
      </c>
    </row>
    <row r="4" spans="1:54" x14ac:dyDescent="0.25">
      <c r="C4" s="28" t="s">
        <v>16</v>
      </c>
      <c r="D4" s="410" t="s">
        <v>3</v>
      </c>
      <c r="E4" s="411"/>
      <c r="F4" s="412"/>
      <c r="G4" s="410" t="s">
        <v>3</v>
      </c>
      <c r="H4" s="411"/>
      <c r="I4" s="412"/>
      <c r="J4" s="410" t="s">
        <v>2</v>
      </c>
      <c r="K4" s="411"/>
      <c r="L4" s="412"/>
      <c r="M4" s="417" t="s">
        <v>62</v>
      </c>
      <c r="N4" s="418"/>
      <c r="O4" s="419"/>
      <c r="P4" s="410" t="s">
        <v>63</v>
      </c>
      <c r="Q4" s="411"/>
      <c r="R4" s="412"/>
      <c r="S4" s="410" t="s">
        <v>59</v>
      </c>
      <c r="T4" s="411"/>
      <c r="U4" s="412"/>
      <c r="V4" s="398" t="s">
        <v>10</v>
      </c>
      <c r="W4" s="399"/>
      <c r="X4" s="424"/>
      <c r="Y4" s="398" t="s">
        <v>23</v>
      </c>
      <c r="Z4" s="399"/>
      <c r="AA4" s="400"/>
      <c r="AB4" s="398" t="s">
        <v>10</v>
      </c>
      <c r="AC4" s="399"/>
      <c r="AD4" s="400"/>
      <c r="AE4" s="398" t="s">
        <v>317</v>
      </c>
      <c r="AF4" s="399"/>
      <c r="AG4" s="400"/>
      <c r="AH4" s="398" t="s">
        <v>562</v>
      </c>
      <c r="AI4" s="399"/>
      <c r="AJ4" s="400"/>
      <c r="AK4" s="398" t="s">
        <v>563</v>
      </c>
      <c r="AL4" s="399"/>
      <c r="AM4" s="400"/>
      <c r="AN4" s="398" t="s">
        <v>566</v>
      </c>
      <c r="AO4" s="399"/>
      <c r="AP4" s="400"/>
      <c r="AQ4" s="398" t="s">
        <v>388</v>
      </c>
      <c r="AR4" s="399"/>
      <c r="AS4" s="400"/>
    </row>
    <row r="5" spans="1:54" x14ac:dyDescent="0.25">
      <c r="C5" s="28" t="s">
        <v>17</v>
      </c>
      <c r="D5" s="375" t="s">
        <v>13</v>
      </c>
      <c r="E5" s="376"/>
      <c r="F5" s="377"/>
      <c r="G5" s="375" t="s">
        <v>4</v>
      </c>
      <c r="H5" s="376"/>
      <c r="I5" s="377"/>
      <c r="J5" s="375" t="s">
        <v>7</v>
      </c>
      <c r="K5" s="376"/>
      <c r="L5" s="377"/>
      <c r="M5" s="375" t="s">
        <v>7</v>
      </c>
      <c r="N5" s="376"/>
      <c r="O5" s="377"/>
      <c r="P5" s="375" t="s">
        <v>8</v>
      </c>
      <c r="Q5" s="376"/>
      <c r="R5" s="377"/>
      <c r="S5" s="375" t="s">
        <v>7</v>
      </c>
      <c r="T5" s="376"/>
      <c r="U5" s="377"/>
      <c r="V5" s="375" t="s">
        <v>321</v>
      </c>
      <c r="W5" s="376"/>
      <c r="X5" s="425"/>
      <c r="Y5" s="375" t="s">
        <v>7</v>
      </c>
      <c r="Z5" s="376"/>
      <c r="AA5" s="377"/>
      <c r="AB5" s="375" t="s">
        <v>4</v>
      </c>
      <c r="AC5" s="376"/>
      <c r="AD5" s="377"/>
      <c r="AE5" s="375" t="s">
        <v>7</v>
      </c>
      <c r="AF5" s="376"/>
      <c r="AG5" s="377"/>
      <c r="AH5" s="375" t="s">
        <v>321</v>
      </c>
      <c r="AI5" s="376"/>
      <c r="AJ5" s="377"/>
      <c r="AK5" s="375" t="s">
        <v>8</v>
      </c>
      <c r="AL5" s="376"/>
      <c r="AM5" s="377"/>
      <c r="AN5" s="375" t="s">
        <v>8</v>
      </c>
      <c r="AO5" s="376"/>
      <c r="AP5" s="377"/>
      <c r="AQ5" s="375" t="s">
        <v>595</v>
      </c>
      <c r="AR5" s="376"/>
      <c r="AS5" s="377"/>
    </row>
    <row r="6" spans="1:54" x14ac:dyDescent="0.25">
      <c r="C6" s="28" t="s">
        <v>18</v>
      </c>
      <c r="D6" s="401">
        <f>+(D10+D9)*D8*30</f>
        <v>81000</v>
      </c>
      <c r="E6" s="402"/>
      <c r="F6" s="403"/>
      <c r="G6" s="401">
        <f>+(G10+G9)*G8*30</f>
        <v>267300</v>
      </c>
      <c r="H6" s="402"/>
      <c r="I6" s="403"/>
      <c r="J6" s="401">
        <f>+(J10+J9)*J8*30</f>
        <v>2511000</v>
      </c>
      <c r="K6" s="402"/>
      <c r="L6" s="403"/>
      <c r="M6" s="401">
        <f>+(M10+M9)*M8*30</f>
        <v>76500</v>
      </c>
      <c r="N6" s="402"/>
      <c r="O6" s="403"/>
      <c r="P6" s="401">
        <f>+(P10+P9)*P8*30</f>
        <v>130500</v>
      </c>
      <c r="Q6" s="402"/>
      <c r="R6" s="403"/>
      <c r="S6" s="401">
        <f>+(S10+S9)*S8*30</f>
        <v>103500</v>
      </c>
      <c r="T6" s="402"/>
      <c r="U6" s="403"/>
      <c r="V6" s="401">
        <f>+V9*V8*30</f>
        <v>13500</v>
      </c>
      <c r="W6" s="402"/>
      <c r="X6" s="403"/>
      <c r="Y6" s="401">
        <f>+(Y9+Y10)*Y8*30</f>
        <v>702000</v>
      </c>
      <c r="Z6" s="402"/>
      <c r="AA6" s="403"/>
      <c r="AB6" s="401">
        <f>+(AB9+AB10)*AB8*30</f>
        <v>225000</v>
      </c>
      <c r="AC6" s="402"/>
      <c r="AD6" s="403"/>
      <c r="AE6" s="401">
        <f>+(AE9+AE10)*AE8*30</f>
        <v>693000</v>
      </c>
      <c r="AF6" s="402"/>
      <c r="AG6" s="403"/>
      <c r="AH6" s="375"/>
      <c r="AI6" s="376"/>
      <c r="AJ6" s="377"/>
      <c r="AK6" s="375"/>
      <c r="AL6" s="376"/>
      <c r="AM6" s="377"/>
      <c r="AN6" s="375"/>
      <c r="AO6" s="376"/>
      <c r="AP6" s="377"/>
      <c r="AQ6" s="401">
        <f>+(AQ9+AQ10)*AQ8*30</f>
        <v>122400</v>
      </c>
      <c r="AR6" s="402"/>
      <c r="AS6" s="403"/>
    </row>
    <row r="7" spans="1:54" x14ac:dyDescent="0.25">
      <c r="C7" s="76" t="s">
        <v>12</v>
      </c>
      <c r="D7" s="383">
        <v>1500000</v>
      </c>
      <c r="E7" s="384"/>
      <c r="F7" s="385"/>
      <c r="G7" s="383">
        <v>6500000</v>
      </c>
      <c r="H7" s="384"/>
      <c r="I7" s="385"/>
      <c r="J7" s="383">
        <v>50000000</v>
      </c>
      <c r="K7" s="384"/>
      <c r="L7" s="385"/>
      <c r="M7" s="383">
        <v>600000</v>
      </c>
      <c r="N7" s="384"/>
      <c r="O7" s="385"/>
      <c r="P7" s="404">
        <v>500000</v>
      </c>
      <c r="Q7" s="405"/>
      <c r="R7" s="406"/>
      <c r="S7" s="404">
        <v>250000</v>
      </c>
      <c r="T7" s="405"/>
      <c r="U7" s="406"/>
      <c r="V7" s="404">
        <v>50000</v>
      </c>
      <c r="W7" s="405"/>
      <c r="X7" s="406"/>
      <c r="Y7" s="404">
        <v>16000000</v>
      </c>
      <c r="Z7" s="405"/>
      <c r="AA7" s="406"/>
      <c r="AB7" s="404">
        <v>3500000</v>
      </c>
      <c r="AC7" s="405"/>
      <c r="AD7" s="406"/>
      <c r="AE7" s="404">
        <v>38000000</v>
      </c>
      <c r="AF7" s="405"/>
      <c r="AG7" s="406"/>
      <c r="AH7" s="404">
        <v>800000</v>
      </c>
      <c r="AI7" s="405"/>
      <c r="AJ7" s="406"/>
      <c r="AK7" s="404">
        <v>4000000</v>
      </c>
      <c r="AL7" s="405"/>
      <c r="AM7" s="406"/>
      <c r="AN7" s="404">
        <v>7000000</v>
      </c>
      <c r="AO7" s="405"/>
      <c r="AP7" s="406"/>
      <c r="AQ7" s="404">
        <v>2200000</v>
      </c>
      <c r="AR7" s="405"/>
      <c r="AS7" s="406"/>
    </row>
    <row r="8" spans="1:54" x14ac:dyDescent="0.25">
      <c r="C8" s="28" t="s">
        <v>372</v>
      </c>
      <c r="D8" s="401">
        <f>6*30</f>
        <v>180</v>
      </c>
      <c r="E8" s="402"/>
      <c r="F8" s="403"/>
      <c r="G8" s="401">
        <f>11*30</f>
        <v>330</v>
      </c>
      <c r="H8" s="402"/>
      <c r="I8" s="403"/>
      <c r="J8" s="401">
        <f>18*30</f>
        <v>540</v>
      </c>
      <c r="K8" s="402"/>
      <c r="L8" s="403"/>
      <c r="M8" s="401">
        <f>5*30</f>
        <v>150</v>
      </c>
      <c r="N8" s="402"/>
      <c r="O8" s="403"/>
      <c r="P8" s="401">
        <f>5*30</f>
        <v>150</v>
      </c>
      <c r="Q8" s="402"/>
      <c r="R8" s="403"/>
      <c r="S8" s="375">
        <f>30*5</f>
        <v>150</v>
      </c>
      <c r="T8" s="376"/>
      <c r="U8" s="377"/>
      <c r="V8" s="375">
        <f>30*3</f>
        <v>90</v>
      </c>
      <c r="W8" s="376"/>
      <c r="X8" s="377"/>
      <c r="Y8" s="375">
        <f>30*12</f>
        <v>360</v>
      </c>
      <c r="Z8" s="376"/>
      <c r="AA8" s="377"/>
      <c r="AB8" s="375">
        <f>30*10</f>
        <v>300</v>
      </c>
      <c r="AC8" s="376"/>
      <c r="AD8" s="377"/>
      <c r="AE8" s="375">
        <f>30*14</f>
        <v>420</v>
      </c>
      <c r="AF8" s="376"/>
      <c r="AG8" s="377"/>
      <c r="AH8" s="375">
        <f>3*30</f>
        <v>90</v>
      </c>
      <c r="AI8" s="376"/>
      <c r="AJ8" s="377"/>
      <c r="AK8" s="375">
        <f>9*30</f>
        <v>270</v>
      </c>
      <c r="AL8" s="376"/>
      <c r="AM8" s="377"/>
      <c r="AN8" s="375">
        <f>12*30</f>
        <v>360</v>
      </c>
      <c r="AO8" s="376"/>
      <c r="AP8" s="377"/>
      <c r="AQ8" s="375">
        <f>30*8</f>
        <v>240</v>
      </c>
      <c r="AR8" s="376"/>
      <c r="AS8" s="377"/>
    </row>
    <row r="9" spans="1:54" ht="15.75" thickBot="1" x14ac:dyDescent="0.3">
      <c r="C9" s="77" t="s">
        <v>370</v>
      </c>
      <c r="D9" s="413">
        <v>3</v>
      </c>
      <c r="E9" s="414"/>
      <c r="F9" s="415"/>
      <c r="G9" s="413">
        <v>7</v>
      </c>
      <c r="H9" s="414"/>
      <c r="I9" s="415"/>
      <c r="J9" s="413">
        <v>25</v>
      </c>
      <c r="K9" s="414"/>
      <c r="L9" s="415"/>
      <c r="M9" s="413">
        <v>4</v>
      </c>
      <c r="N9" s="414"/>
      <c r="O9" s="415"/>
      <c r="P9" s="401">
        <v>4</v>
      </c>
      <c r="Q9" s="402"/>
      <c r="R9" s="403"/>
      <c r="S9" s="375">
        <v>3</v>
      </c>
      <c r="T9" s="376"/>
      <c r="U9" s="377"/>
      <c r="V9" s="375">
        <v>5</v>
      </c>
      <c r="W9" s="376"/>
      <c r="X9" s="377"/>
      <c r="Y9" s="375">
        <v>15</v>
      </c>
      <c r="Z9" s="376"/>
      <c r="AA9" s="377"/>
      <c r="AB9" s="375">
        <v>25</v>
      </c>
      <c r="AC9" s="376"/>
      <c r="AD9" s="377"/>
      <c r="AE9" s="375">
        <v>10</v>
      </c>
      <c r="AF9" s="376"/>
      <c r="AG9" s="377"/>
      <c r="AH9" s="375">
        <v>4</v>
      </c>
      <c r="AI9" s="376"/>
      <c r="AJ9" s="377"/>
      <c r="AK9" s="375">
        <v>17</v>
      </c>
      <c r="AL9" s="376"/>
      <c r="AM9" s="377"/>
      <c r="AN9" s="375">
        <v>22</v>
      </c>
      <c r="AO9" s="376"/>
      <c r="AP9" s="377"/>
      <c r="AQ9" s="375">
        <v>5</v>
      </c>
      <c r="AR9" s="376"/>
      <c r="AS9" s="377"/>
    </row>
    <row r="10" spans="1:54" ht="15.75" thickBot="1" x14ac:dyDescent="0.3">
      <c r="C10" s="78" t="s">
        <v>371</v>
      </c>
      <c r="D10" s="378">
        <v>12</v>
      </c>
      <c r="E10" s="379"/>
      <c r="F10" s="380"/>
      <c r="G10" s="378">
        <v>20</v>
      </c>
      <c r="H10" s="379"/>
      <c r="I10" s="380"/>
      <c r="J10" s="378">
        <v>130</v>
      </c>
      <c r="K10" s="379"/>
      <c r="L10" s="380"/>
      <c r="M10" s="378">
        <v>13</v>
      </c>
      <c r="N10" s="379"/>
      <c r="O10" s="380"/>
      <c r="P10" s="387">
        <v>25</v>
      </c>
      <c r="Q10" s="388"/>
      <c r="R10" s="389"/>
      <c r="S10" s="407">
        <v>20</v>
      </c>
      <c r="T10" s="408"/>
      <c r="U10" s="409"/>
      <c r="V10" s="407">
        <v>0</v>
      </c>
      <c r="W10" s="408"/>
      <c r="X10" s="409"/>
      <c r="Y10" s="407">
        <v>50</v>
      </c>
      <c r="Z10" s="408"/>
      <c r="AA10" s="409"/>
      <c r="AB10" s="387">
        <v>0</v>
      </c>
      <c r="AC10" s="388"/>
      <c r="AD10" s="389"/>
      <c r="AE10" s="387">
        <v>45</v>
      </c>
      <c r="AF10" s="388"/>
      <c r="AG10" s="389"/>
      <c r="AH10" s="387">
        <v>12</v>
      </c>
      <c r="AI10" s="388"/>
      <c r="AJ10" s="389"/>
      <c r="AK10" s="387">
        <v>70</v>
      </c>
      <c r="AL10" s="388"/>
      <c r="AM10" s="389"/>
      <c r="AN10" s="387">
        <v>180</v>
      </c>
      <c r="AO10" s="388"/>
      <c r="AP10" s="389"/>
      <c r="AQ10" s="387">
        <v>12</v>
      </c>
      <c r="AR10" s="388"/>
      <c r="AS10" s="389"/>
      <c r="AU10" s="373" t="s">
        <v>369</v>
      </c>
      <c r="AV10" s="374"/>
      <c r="AW10" s="374"/>
    </row>
    <row r="11" spans="1:54" ht="15.75" thickBot="1" x14ac:dyDescent="0.3">
      <c r="D11" s="74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3"/>
      <c r="V11" s="74"/>
      <c r="W11" s="2"/>
      <c r="X11" s="2"/>
      <c r="Y11" s="2"/>
      <c r="Z11" s="2"/>
      <c r="AA11" s="3"/>
    </row>
    <row r="12" spans="1:54" ht="15.75" thickBot="1" x14ac:dyDescent="0.3">
      <c r="D12" s="69" t="s">
        <v>323</v>
      </c>
      <c r="E12" s="381" t="s">
        <v>334</v>
      </c>
      <c r="F12" s="382"/>
      <c r="G12" s="69" t="s">
        <v>323</v>
      </c>
      <c r="H12" s="381" t="s">
        <v>334</v>
      </c>
      <c r="I12" s="416"/>
      <c r="J12" s="69" t="s">
        <v>323</v>
      </c>
      <c r="K12" s="381" t="s">
        <v>334</v>
      </c>
      <c r="L12" s="382"/>
      <c r="M12" s="69" t="s">
        <v>323</v>
      </c>
      <c r="N12" s="381" t="s">
        <v>334</v>
      </c>
      <c r="O12" s="382"/>
      <c r="P12" s="69" t="s">
        <v>323</v>
      </c>
      <c r="Q12" s="381" t="s">
        <v>334</v>
      </c>
      <c r="R12" s="382"/>
      <c r="S12" s="69" t="s">
        <v>323</v>
      </c>
      <c r="T12" s="381" t="s">
        <v>334</v>
      </c>
      <c r="U12" s="382"/>
      <c r="V12" s="69" t="s">
        <v>323</v>
      </c>
      <c r="W12" s="381" t="s">
        <v>334</v>
      </c>
      <c r="X12" s="382"/>
      <c r="Y12" s="69" t="s">
        <v>323</v>
      </c>
      <c r="Z12" s="381" t="s">
        <v>334</v>
      </c>
      <c r="AA12" s="382"/>
      <c r="AB12" s="69" t="s">
        <v>323</v>
      </c>
      <c r="AC12" s="381" t="s">
        <v>334</v>
      </c>
      <c r="AD12" s="382"/>
      <c r="AE12" s="69" t="s">
        <v>323</v>
      </c>
      <c r="AF12" s="381" t="s">
        <v>334</v>
      </c>
      <c r="AG12" s="382"/>
      <c r="AH12" s="69" t="s">
        <v>323</v>
      </c>
      <c r="AI12" s="381" t="s">
        <v>334</v>
      </c>
      <c r="AJ12" s="382"/>
      <c r="AK12" s="69" t="s">
        <v>323</v>
      </c>
      <c r="AL12" s="381" t="s">
        <v>334</v>
      </c>
      <c r="AM12" s="382"/>
      <c r="AN12" s="69" t="s">
        <v>323</v>
      </c>
      <c r="AO12" s="381" t="s">
        <v>334</v>
      </c>
      <c r="AP12" s="382"/>
      <c r="AQ12" s="94" t="s">
        <v>323</v>
      </c>
      <c r="AR12" s="381" t="s">
        <v>334</v>
      </c>
      <c r="AS12" s="382"/>
      <c r="AU12" s="69" t="s">
        <v>323</v>
      </c>
      <c r="AV12" s="381" t="s">
        <v>334</v>
      </c>
      <c r="AW12" s="382"/>
      <c r="AY12" s="386" t="s">
        <v>581</v>
      </c>
      <c r="AZ12" s="386"/>
      <c r="BA12" s="386"/>
    </row>
    <row r="13" spans="1:54" ht="15.75" thickBot="1" x14ac:dyDescent="0.3">
      <c r="A13" s="223" t="s">
        <v>572</v>
      </c>
      <c r="B13" s="223" t="s">
        <v>573</v>
      </c>
      <c r="C13" s="224" t="s">
        <v>580</v>
      </c>
      <c r="D13" s="95" t="s">
        <v>335</v>
      </c>
      <c r="E13" s="75" t="s">
        <v>336</v>
      </c>
      <c r="F13" s="67" t="s">
        <v>337</v>
      </c>
      <c r="G13" s="66" t="s">
        <v>335</v>
      </c>
      <c r="H13" s="75" t="s">
        <v>336</v>
      </c>
      <c r="I13" s="68" t="s">
        <v>337</v>
      </c>
      <c r="J13" s="66" t="s">
        <v>335</v>
      </c>
      <c r="K13" s="75" t="s">
        <v>336</v>
      </c>
      <c r="L13" s="67" t="s">
        <v>337</v>
      </c>
      <c r="M13" s="66" t="s">
        <v>335</v>
      </c>
      <c r="N13" s="75" t="s">
        <v>336</v>
      </c>
      <c r="O13" s="67" t="s">
        <v>337</v>
      </c>
      <c r="P13" s="66" t="s">
        <v>335</v>
      </c>
      <c r="Q13" s="75" t="s">
        <v>336</v>
      </c>
      <c r="R13" s="67" t="s">
        <v>337</v>
      </c>
      <c r="S13" s="66" t="s">
        <v>335</v>
      </c>
      <c r="T13" s="75" t="s">
        <v>336</v>
      </c>
      <c r="U13" s="67" t="s">
        <v>337</v>
      </c>
      <c r="V13" s="66" t="s">
        <v>335</v>
      </c>
      <c r="W13" s="79" t="s">
        <v>336</v>
      </c>
      <c r="X13" s="67" t="s">
        <v>337</v>
      </c>
      <c r="Y13" s="66" t="s">
        <v>335</v>
      </c>
      <c r="Z13" s="79" t="s">
        <v>336</v>
      </c>
      <c r="AA13" s="67" t="s">
        <v>337</v>
      </c>
      <c r="AB13" s="66" t="s">
        <v>335</v>
      </c>
      <c r="AC13" s="82" t="s">
        <v>336</v>
      </c>
      <c r="AD13" s="67" t="s">
        <v>337</v>
      </c>
      <c r="AE13" s="66" t="s">
        <v>335</v>
      </c>
      <c r="AF13" s="82" t="s">
        <v>336</v>
      </c>
      <c r="AG13" s="67" t="s">
        <v>337</v>
      </c>
      <c r="AH13" s="66" t="s">
        <v>335</v>
      </c>
      <c r="AI13" s="82" t="s">
        <v>336</v>
      </c>
      <c r="AJ13" s="67" t="s">
        <v>337</v>
      </c>
      <c r="AK13" s="66" t="s">
        <v>335</v>
      </c>
      <c r="AL13" s="82" t="s">
        <v>336</v>
      </c>
      <c r="AM13" s="67" t="s">
        <v>337</v>
      </c>
      <c r="AN13" s="66" t="s">
        <v>335</v>
      </c>
      <c r="AO13" s="82" t="s">
        <v>336</v>
      </c>
      <c r="AP13" s="67" t="s">
        <v>337</v>
      </c>
      <c r="AQ13" s="95" t="s">
        <v>335</v>
      </c>
      <c r="AR13" s="82" t="s">
        <v>336</v>
      </c>
      <c r="AS13" s="67" t="s">
        <v>337</v>
      </c>
      <c r="AU13" s="66" t="s">
        <v>335</v>
      </c>
      <c r="AV13" s="100" t="s">
        <v>336</v>
      </c>
      <c r="AW13" s="67" t="s">
        <v>337</v>
      </c>
      <c r="AY13" s="215" t="s">
        <v>332</v>
      </c>
      <c r="BA13" s="215" t="s">
        <v>333</v>
      </c>
    </row>
    <row r="14" spans="1:54" ht="15.75" customHeight="1" x14ac:dyDescent="0.25">
      <c r="A14" s="225" t="s">
        <v>19</v>
      </c>
      <c r="B14" s="234" t="s">
        <v>11</v>
      </c>
      <c r="C14" s="226" t="s">
        <v>24</v>
      </c>
      <c r="D14" s="209">
        <v>2</v>
      </c>
      <c r="E14" s="88">
        <f>9*2</f>
        <v>18</v>
      </c>
      <c r="F14" s="55">
        <f>9*2*(D9)*'Costo HH'!E6</f>
        <v>6783.75</v>
      </c>
      <c r="G14" s="46">
        <v>3</v>
      </c>
      <c r="H14" s="47">
        <v>9</v>
      </c>
      <c r="I14" s="55">
        <f>9*2*(G9)*'Costo HH'!E6</f>
        <v>15828.75</v>
      </c>
      <c r="J14" s="62">
        <v>0</v>
      </c>
      <c r="K14" s="46">
        <v>0</v>
      </c>
      <c r="L14" s="92">
        <v>0</v>
      </c>
      <c r="M14" s="62">
        <v>1</v>
      </c>
      <c r="N14" s="47">
        <v>0</v>
      </c>
      <c r="O14" s="55">
        <f>9*1*(M9)*'Costo HH'!E6</f>
        <v>4522.5</v>
      </c>
      <c r="P14" s="139"/>
      <c r="Q14" s="140"/>
      <c r="R14" s="141"/>
      <c r="S14" s="45">
        <v>0</v>
      </c>
      <c r="T14" s="88">
        <f>9*0.45</f>
        <v>4.05</v>
      </c>
      <c r="U14" s="55">
        <f>9*1*($S$9)*'Costo HH'!$E$6</f>
        <v>3391.875</v>
      </c>
      <c r="V14" s="139"/>
      <c r="W14" s="140"/>
      <c r="X14" s="141"/>
      <c r="Y14" s="46">
        <v>0</v>
      </c>
      <c r="Z14" s="91">
        <v>15.3</v>
      </c>
      <c r="AA14" s="55">
        <f>9*0*($Y$9)*'Costo HH'!$E$6</f>
        <v>0</v>
      </c>
      <c r="AB14" s="139"/>
      <c r="AC14" s="140"/>
      <c r="AD14" s="141"/>
      <c r="AE14" s="62">
        <v>2</v>
      </c>
      <c r="AF14" s="47">
        <v>4</v>
      </c>
      <c r="AG14" s="55">
        <f>9*2*($AE$9)*'Costo HH'!$E$6</f>
        <v>22612.5</v>
      </c>
      <c r="AH14" s="62">
        <v>1</v>
      </c>
      <c r="AI14" s="47">
        <v>15</v>
      </c>
      <c r="AJ14" s="55">
        <f>AI14*($AH$9)*'Costo HH'!$E$6</f>
        <v>7537.5</v>
      </c>
      <c r="AK14" s="139"/>
      <c r="AL14" s="140"/>
      <c r="AM14" s="141"/>
      <c r="AN14" s="139"/>
      <c r="AO14" s="140"/>
      <c r="AP14" s="141"/>
      <c r="AQ14" s="62">
        <v>1</v>
      </c>
      <c r="AR14" s="47">
        <v>30</v>
      </c>
      <c r="AS14" s="55">
        <f>AR14*($AQ$9)*'Costo HH'!$E$6</f>
        <v>18843.75</v>
      </c>
      <c r="AU14" s="62">
        <f>D14+G14+J14+M14+P14+S14+V14+Y14+AB14+AE14+AH14+AK14+AN14+AQ14</f>
        <v>10</v>
      </c>
      <c r="AV14" s="47">
        <f>E14+H14+K14+N14+Q14+T14+W14+Z14+AC14+AF14+AI14+AL14+AO14+AR14</f>
        <v>95.35</v>
      </c>
      <c r="AW14" s="48">
        <f>F14+I14+L14+O14+R14+U14+X14+AA14+AD14+AG14+AJ14+AM14+AP14+AS14</f>
        <v>79520.625</v>
      </c>
      <c r="AY14" s="70">
        <f>+SUM(AV14:AV19)</f>
        <v>560.15</v>
      </c>
      <c r="AZ14" s="33">
        <f>+AY14/($AY$14+$AY$20+$AY$28+$AY$32)</f>
        <v>6.7962790629955569E-2</v>
      </c>
      <c r="BA14" s="70">
        <f>+SUM(AW14:AW19)</f>
        <v>606768.75</v>
      </c>
      <c r="BB14" s="33">
        <f>+BA14/($BA$14+$BA$20+$BA$28+$BA$32)</f>
        <v>1.8944612697947307E-2</v>
      </c>
    </row>
    <row r="15" spans="1:54" x14ac:dyDescent="0.25">
      <c r="A15" s="214" t="s">
        <v>19</v>
      </c>
      <c r="B15" s="235" t="s">
        <v>11</v>
      </c>
      <c r="C15" s="30" t="s">
        <v>395</v>
      </c>
      <c r="D15" s="210"/>
      <c r="E15" s="99"/>
      <c r="F15" s="58"/>
      <c r="G15" s="42"/>
      <c r="H15" s="43"/>
      <c r="I15" s="58"/>
      <c r="J15" s="63"/>
      <c r="K15" s="42"/>
      <c r="L15" s="98"/>
      <c r="M15" s="63"/>
      <c r="N15" s="43"/>
      <c r="O15" s="58"/>
      <c r="P15" s="142"/>
      <c r="Q15" s="143"/>
      <c r="R15" s="144"/>
      <c r="S15" s="37"/>
      <c r="T15" s="99">
        <f>9*0.2</f>
        <v>1.8</v>
      </c>
      <c r="U15" s="58">
        <f>9*0.2*($S$9)*'Costo HH'!$E$6</f>
        <v>678.375</v>
      </c>
      <c r="V15" s="142"/>
      <c r="W15" s="143"/>
      <c r="X15" s="144"/>
      <c r="Y15" s="42">
        <v>1</v>
      </c>
      <c r="Z15" s="43">
        <v>45.9</v>
      </c>
      <c r="AA15" s="58">
        <f>9*1*($Y$9)*'Costo HH'!$E$6</f>
        <v>16959.375</v>
      </c>
      <c r="AB15" s="142"/>
      <c r="AC15" s="143"/>
      <c r="AD15" s="144"/>
      <c r="AE15" s="63">
        <v>1</v>
      </c>
      <c r="AF15" s="43">
        <v>3</v>
      </c>
      <c r="AG15" s="58">
        <f>9*3/2*($AE$9)*'Costo HH'!$E$6</f>
        <v>16959.375</v>
      </c>
      <c r="AH15" s="63">
        <v>2</v>
      </c>
      <c r="AI15" s="43">
        <v>20</v>
      </c>
      <c r="AJ15" s="58">
        <f>AI15*($AH$9)*'Costo HH'!$E$6</f>
        <v>10050</v>
      </c>
      <c r="AK15" s="145"/>
      <c r="AL15" s="146"/>
      <c r="AM15" s="147"/>
      <c r="AN15" s="145"/>
      <c r="AO15" s="146"/>
      <c r="AP15" s="147"/>
      <c r="AQ15" s="63">
        <v>2</v>
      </c>
      <c r="AR15" s="43">
        <v>40</v>
      </c>
      <c r="AS15" s="58">
        <f>AR15*($AQ$9)*'Costo HH'!$E$6</f>
        <v>25125</v>
      </c>
      <c r="AU15" s="64">
        <f t="shared" ref="AU15:AU72" si="0">D15+G15+J15+M15+P15+S15+V15+Y15+AB15+AE15+AH15+AK15+AN15+AQ15</f>
        <v>6</v>
      </c>
      <c r="AV15" s="34">
        <f t="shared" ref="AV15:AV72" si="1">E15+H15+K15+N15+Q15+T15+W15+Z15+AC15+AF15+AI15+AL15+AO15+AR15</f>
        <v>110.69999999999999</v>
      </c>
      <c r="AW15" s="49">
        <f t="shared" ref="AW15:AW72" si="2">F15+I15+L15+O15+R15+U15+X15+AA15+AD15+AG15+AJ15+AM15+AP15+AS15</f>
        <v>69772.125</v>
      </c>
    </row>
    <row r="16" spans="1:54" x14ac:dyDescent="0.25">
      <c r="A16" s="214" t="s">
        <v>19</v>
      </c>
      <c r="B16" s="235" t="s">
        <v>11</v>
      </c>
      <c r="C16" s="30" t="s">
        <v>26</v>
      </c>
      <c r="D16" s="211">
        <v>1</v>
      </c>
      <c r="E16" s="32">
        <f>9*3</f>
        <v>27</v>
      </c>
      <c r="F16" s="56">
        <f>9*2*(D9)*'Costo HH'!E8</f>
        <v>4522.5</v>
      </c>
      <c r="G16" s="42">
        <v>0</v>
      </c>
      <c r="H16" s="43">
        <f>9*2</f>
        <v>18</v>
      </c>
      <c r="I16" s="58">
        <f>9*2*(G9)*'Costo HH'!E8</f>
        <v>10552.5</v>
      </c>
      <c r="J16" s="63">
        <v>0</v>
      </c>
      <c r="K16" s="43">
        <v>0</v>
      </c>
      <c r="L16" s="93">
        <f>9*2*(J9)*'Costo HH'!$E$8</f>
        <v>37687.5</v>
      </c>
      <c r="M16" s="64">
        <v>0</v>
      </c>
      <c r="N16" s="34">
        <f>9*0</f>
        <v>0</v>
      </c>
      <c r="O16" s="58">
        <f>9*0*($M$9)*'Costo HH'!$E$8</f>
        <v>0</v>
      </c>
      <c r="P16" s="145"/>
      <c r="Q16" s="146"/>
      <c r="R16" s="147"/>
      <c r="S16" s="31">
        <v>1</v>
      </c>
      <c r="T16" s="32">
        <f>9*0.2</f>
        <v>1.8</v>
      </c>
      <c r="U16" s="56">
        <f>9*0.1*($S$9)*'Costo HH'!$E$6</f>
        <v>339.1875</v>
      </c>
      <c r="V16" s="145"/>
      <c r="W16" s="146"/>
      <c r="X16" s="147"/>
      <c r="Y16" s="42">
        <v>1</v>
      </c>
      <c r="Z16" s="43">
        <v>15.3</v>
      </c>
      <c r="AA16" s="56">
        <f>9*1.2*($Y$9)*'Costo HH'!$E$6</f>
        <v>20351.249999999996</v>
      </c>
      <c r="AB16" s="145"/>
      <c r="AC16" s="146"/>
      <c r="AD16" s="147"/>
      <c r="AE16" s="63">
        <v>1</v>
      </c>
      <c r="AF16" s="43">
        <v>2</v>
      </c>
      <c r="AG16" s="56">
        <f>9*1*($AE$9)*'Costo HH'!$E$6</f>
        <v>11306.25</v>
      </c>
      <c r="AH16" s="63">
        <v>1</v>
      </c>
      <c r="AI16" s="43">
        <v>4</v>
      </c>
      <c r="AJ16" s="58">
        <f>AI16*($AH$9)*'Costo HH'!$E$6</f>
        <v>2010</v>
      </c>
      <c r="AK16" s="145"/>
      <c r="AL16" s="146"/>
      <c r="AM16" s="147"/>
      <c r="AN16" s="145"/>
      <c r="AO16" s="146"/>
      <c r="AP16" s="147"/>
      <c r="AQ16" s="63">
        <v>1</v>
      </c>
      <c r="AR16" s="43">
        <v>14</v>
      </c>
      <c r="AS16" s="58">
        <f>AR16*($AQ$9)*'Costo HH'!$E$6</f>
        <v>8793.75</v>
      </c>
      <c r="AU16" s="64">
        <f t="shared" si="0"/>
        <v>6</v>
      </c>
      <c r="AV16" s="34">
        <f t="shared" si="1"/>
        <v>82.1</v>
      </c>
      <c r="AW16" s="49">
        <f t="shared" si="2"/>
        <v>95562.9375</v>
      </c>
    </row>
    <row r="17" spans="1:54" x14ac:dyDescent="0.25">
      <c r="A17" s="214" t="s">
        <v>19</v>
      </c>
      <c r="B17" s="235" t="s">
        <v>11</v>
      </c>
      <c r="C17" s="30" t="s">
        <v>27</v>
      </c>
      <c r="D17" s="211">
        <v>1</v>
      </c>
      <c r="E17" s="32">
        <f>9*1.5</f>
        <v>13.5</v>
      </c>
      <c r="F17" s="56">
        <f>9*3*(D9)*'Costo HH'!E8</f>
        <v>6783.75</v>
      </c>
      <c r="G17" s="42">
        <v>0</v>
      </c>
      <c r="H17" s="43">
        <f>9*1</f>
        <v>9</v>
      </c>
      <c r="I17" s="58">
        <f>9*3*(G9)*'Costo HH'!E8</f>
        <v>15828.75</v>
      </c>
      <c r="J17" s="63">
        <v>1</v>
      </c>
      <c r="K17" s="42">
        <f>9*0.5</f>
        <v>4.5</v>
      </c>
      <c r="L17" s="93">
        <f>9*3*(J9)*'Costo HH'!$E$8</f>
        <v>56531.25</v>
      </c>
      <c r="M17" s="64">
        <v>0</v>
      </c>
      <c r="N17" s="34">
        <f>9*0.1</f>
        <v>0.9</v>
      </c>
      <c r="O17" s="58">
        <f>9*0*(M10)*'Costo HH'!$E$8</f>
        <v>0</v>
      </c>
      <c r="P17" s="145"/>
      <c r="Q17" s="146"/>
      <c r="R17" s="147"/>
      <c r="S17" s="31">
        <v>1</v>
      </c>
      <c r="T17" s="32">
        <f>9*1.5</f>
        <v>13.5</v>
      </c>
      <c r="U17" s="56">
        <f>9*0.2*($S$9)*'Costo HH'!$E$6</f>
        <v>678.375</v>
      </c>
      <c r="V17" s="145"/>
      <c r="W17" s="146"/>
      <c r="X17" s="147"/>
      <c r="Y17" s="42">
        <v>2</v>
      </c>
      <c r="Z17" s="43">
        <v>61.2</v>
      </c>
      <c r="AA17" s="56">
        <f>9*3*($Y$9)*'Costo HH'!$E$6</f>
        <v>50878.125</v>
      </c>
      <c r="AB17" s="145"/>
      <c r="AC17" s="146"/>
      <c r="AD17" s="147"/>
      <c r="AE17" s="63">
        <v>1</v>
      </c>
      <c r="AF17" s="43">
        <v>2</v>
      </c>
      <c r="AG17" s="56">
        <f>9*1.1*($AE$9)*'Costo HH'!$E$6</f>
        <v>12436.875</v>
      </c>
      <c r="AH17" s="63">
        <v>0</v>
      </c>
      <c r="AI17" s="43">
        <v>0</v>
      </c>
      <c r="AJ17" s="58">
        <f>0*($AH$9)*'Costo HH'!$E$6</f>
        <v>0</v>
      </c>
      <c r="AK17" s="148"/>
      <c r="AL17" s="149"/>
      <c r="AM17" s="147"/>
      <c r="AN17" s="148"/>
      <c r="AO17" s="149"/>
      <c r="AP17" s="147"/>
      <c r="AQ17" s="63">
        <v>2</v>
      </c>
      <c r="AR17" s="43">
        <v>0</v>
      </c>
      <c r="AS17" s="58">
        <f>0*($AQ$9)*'Costo HH'!$E$6</f>
        <v>0</v>
      </c>
      <c r="AU17" s="64">
        <f t="shared" si="0"/>
        <v>8</v>
      </c>
      <c r="AV17" s="34">
        <f t="shared" si="1"/>
        <v>104.6</v>
      </c>
      <c r="AW17" s="49">
        <f t="shared" si="2"/>
        <v>143137.125</v>
      </c>
    </row>
    <row r="18" spans="1:54" x14ac:dyDescent="0.25">
      <c r="A18" s="214" t="s">
        <v>19</v>
      </c>
      <c r="B18" s="235" t="s">
        <v>364</v>
      </c>
      <c r="C18" s="30" t="s">
        <v>25</v>
      </c>
      <c r="D18" s="212">
        <v>1</v>
      </c>
      <c r="E18" s="87">
        <f>9*1</f>
        <v>9</v>
      </c>
      <c r="F18" s="56">
        <v>0</v>
      </c>
      <c r="G18" s="38">
        <v>1</v>
      </c>
      <c r="H18" s="34">
        <v>0</v>
      </c>
      <c r="I18" s="56">
        <v>0</v>
      </c>
      <c r="J18" s="64">
        <v>0</v>
      </c>
      <c r="K18" s="42">
        <v>0</v>
      </c>
      <c r="L18" s="93">
        <f>9*4.5*(J9)*'Costo HH'!$E$9</f>
        <v>84796.875</v>
      </c>
      <c r="M18" s="64">
        <v>0</v>
      </c>
      <c r="N18" s="34">
        <v>0</v>
      </c>
      <c r="O18" s="58">
        <f>9*0*($M$11)*'Costo HH'!$E$8</f>
        <v>0</v>
      </c>
      <c r="P18" s="148"/>
      <c r="Q18" s="149"/>
      <c r="R18" s="147"/>
      <c r="S18" s="39">
        <v>0</v>
      </c>
      <c r="T18" s="87">
        <f>9*0</f>
        <v>0</v>
      </c>
      <c r="U18" s="56">
        <f>9*0*($S$9)*'Costo HH'!$E$6</f>
        <v>0</v>
      </c>
      <c r="V18" s="148"/>
      <c r="W18" s="149"/>
      <c r="X18" s="147"/>
      <c r="Y18" s="38">
        <v>1</v>
      </c>
      <c r="Z18" s="34">
        <v>30.6</v>
      </c>
      <c r="AA18" s="56">
        <f>9*2.1*($Y$9)*'Costo HH'!$E$6</f>
        <v>35614.687500000007</v>
      </c>
      <c r="AB18" s="148"/>
      <c r="AC18" s="149"/>
      <c r="AD18" s="147"/>
      <c r="AE18" s="64">
        <v>0</v>
      </c>
      <c r="AF18" s="34">
        <v>0</v>
      </c>
      <c r="AG18" s="56">
        <f>9*0*($AE$9)*'Costo HH'!$E$6</f>
        <v>0</v>
      </c>
      <c r="AH18" s="64">
        <v>0</v>
      </c>
      <c r="AI18" s="34">
        <v>0</v>
      </c>
      <c r="AJ18" s="58">
        <f>AI18*($AH$9)*'Costo HH'!$E$6</f>
        <v>0</v>
      </c>
      <c r="AK18" s="150"/>
      <c r="AL18" s="151"/>
      <c r="AM18" s="152"/>
      <c r="AN18" s="150"/>
      <c r="AO18" s="151"/>
      <c r="AP18" s="152"/>
      <c r="AQ18" s="64">
        <v>0</v>
      </c>
      <c r="AR18" s="34">
        <v>0</v>
      </c>
      <c r="AS18" s="58">
        <f>AR18*($AQ$9)*'Costo HH'!$E$6</f>
        <v>0</v>
      </c>
      <c r="AU18" s="64">
        <f t="shared" si="0"/>
        <v>3</v>
      </c>
      <c r="AV18" s="34">
        <f t="shared" si="1"/>
        <v>39.6</v>
      </c>
      <c r="AW18" s="49">
        <f t="shared" si="2"/>
        <v>120411.5625</v>
      </c>
    </row>
    <row r="19" spans="1:54" ht="15.75" thickBot="1" x14ac:dyDescent="0.3">
      <c r="A19" s="208" t="s">
        <v>19</v>
      </c>
      <c r="B19" s="236" t="s">
        <v>364</v>
      </c>
      <c r="C19" s="229" t="s">
        <v>368</v>
      </c>
      <c r="D19" s="213">
        <v>2</v>
      </c>
      <c r="E19" s="89">
        <f>9*2</f>
        <v>18</v>
      </c>
      <c r="F19" s="90">
        <v>0</v>
      </c>
      <c r="G19" s="51">
        <v>1</v>
      </c>
      <c r="H19" s="52">
        <f>9*2</f>
        <v>18</v>
      </c>
      <c r="I19" s="57">
        <v>0</v>
      </c>
      <c r="J19" s="65">
        <v>2</v>
      </c>
      <c r="K19" s="51">
        <f>9*3</f>
        <v>27</v>
      </c>
      <c r="L19" s="93">
        <f>9*3.3*(J9)*'Costo HH'!$E$8</f>
        <v>62184.375</v>
      </c>
      <c r="M19" s="65">
        <v>1</v>
      </c>
      <c r="N19" s="52">
        <f>9*1.5</f>
        <v>13.5</v>
      </c>
      <c r="O19" s="93">
        <f>9*3*($M$9)*'Costo HH'!$E$8</f>
        <v>9045</v>
      </c>
      <c r="P19" s="150"/>
      <c r="Q19" s="151"/>
      <c r="R19" s="152"/>
      <c r="S19" s="71">
        <v>3</v>
      </c>
      <c r="T19" s="89">
        <f>9*4</f>
        <v>36</v>
      </c>
      <c r="U19" s="90">
        <f>9*2*($S$9)*'Costo HH'!$E$6</f>
        <v>6783.75</v>
      </c>
      <c r="V19" s="150"/>
      <c r="W19" s="151"/>
      <c r="X19" s="152"/>
      <c r="Y19" s="51">
        <v>1</v>
      </c>
      <c r="Z19" s="52">
        <v>15.3</v>
      </c>
      <c r="AA19" s="90">
        <f>9*1.2*($Y$9)*'Costo HH'!$E$6</f>
        <v>20351.249999999996</v>
      </c>
      <c r="AB19" s="150"/>
      <c r="AC19" s="151"/>
      <c r="AD19" s="152"/>
      <c r="AE19" s="65">
        <v>0</v>
      </c>
      <c r="AF19" s="52">
        <v>0</v>
      </c>
      <c r="AG19" s="90">
        <f>9*0*($AE$9)*'Costo HH'!$E$6</f>
        <v>0</v>
      </c>
      <c r="AH19" s="65">
        <v>0</v>
      </c>
      <c r="AI19" s="52">
        <v>0</v>
      </c>
      <c r="AJ19" s="90">
        <f>9*0*($AH$9)*'Costo HH'!$E$6</f>
        <v>0</v>
      </c>
      <c r="AK19" s="156"/>
      <c r="AL19" s="157"/>
      <c r="AM19" s="158"/>
      <c r="AN19" s="156"/>
      <c r="AO19" s="157"/>
      <c r="AP19" s="158"/>
      <c r="AQ19" s="65">
        <v>1</v>
      </c>
      <c r="AR19" s="52">
        <v>0</v>
      </c>
      <c r="AS19" s="90">
        <f>9*0*($AQ$9)*'Costo HH'!$E$6</f>
        <v>0</v>
      </c>
      <c r="AU19" s="185">
        <f t="shared" si="0"/>
        <v>11</v>
      </c>
      <c r="AV19" s="73">
        <f t="shared" si="1"/>
        <v>127.8</v>
      </c>
      <c r="AW19" s="195">
        <f t="shared" si="2"/>
        <v>98364.375</v>
      </c>
    </row>
    <row r="20" spans="1:54" x14ac:dyDescent="0.25">
      <c r="A20" s="225" t="s">
        <v>11</v>
      </c>
      <c r="B20" s="234" t="s">
        <v>365</v>
      </c>
      <c r="C20" s="226" t="s">
        <v>21</v>
      </c>
      <c r="D20" s="227">
        <v>1</v>
      </c>
      <c r="E20" s="91">
        <f>9*2</f>
        <v>18</v>
      </c>
      <c r="F20" s="55">
        <f>9*2*(D9+D10)*'Costo HH'!E7</f>
        <v>28265.625</v>
      </c>
      <c r="G20" s="46">
        <v>3</v>
      </c>
      <c r="H20" s="47">
        <f>9*3</f>
        <v>27</v>
      </c>
      <c r="I20" s="55">
        <f>9*2*(G9+G10)*'Costo HH'!E7</f>
        <v>50878.125</v>
      </c>
      <c r="J20" s="62">
        <v>2</v>
      </c>
      <c r="K20" s="46">
        <f>9*1</f>
        <v>9</v>
      </c>
      <c r="L20" s="55">
        <f>9*3.2*(J9+J10)*'Costo HH'!E7</f>
        <v>467325</v>
      </c>
      <c r="M20" s="62">
        <v>1</v>
      </c>
      <c r="N20" s="46">
        <f>9*1.4</f>
        <v>12.6</v>
      </c>
      <c r="O20" s="55">
        <f>9*1*($M$10)*'Costo HH'!E11</f>
        <v>0</v>
      </c>
      <c r="P20" s="139"/>
      <c r="Q20" s="140"/>
      <c r="R20" s="141"/>
      <c r="S20" s="54">
        <v>0</v>
      </c>
      <c r="T20" s="91">
        <f>9*1.5</f>
        <v>13.5</v>
      </c>
      <c r="U20" s="55">
        <f>9*0*($S$9)*'Costo HH'!$E$6</f>
        <v>0</v>
      </c>
      <c r="V20" s="62">
        <v>1</v>
      </c>
      <c r="W20" s="91">
        <f>9*4.5</f>
        <v>40.5</v>
      </c>
      <c r="X20" s="55">
        <f>9*1.4*($V$9)*'Costo HH'!$E$6</f>
        <v>7914.375</v>
      </c>
      <c r="Y20" s="46">
        <v>3</v>
      </c>
      <c r="Z20" s="47">
        <v>45.9</v>
      </c>
      <c r="AA20" s="55">
        <f>9*1.4*($Y$10)*'Costo HH'!$E$6</f>
        <v>79143.75</v>
      </c>
      <c r="AB20" s="62">
        <v>3</v>
      </c>
      <c r="AC20" s="47">
        <v>48.6</v>
      </c>
      <c r="AD20" s="55">
        <f>9*1*($AB$9)*'Costo HH'!$E$6</f>
        <v>28265.625</v>
      </c>
      <c r="AE20" s="46">
        <v>1</v>
      </c>
      <c r="AF20" s="47">
        <v>4</v>
      </c>
      <c r="AG20" s="55">
        <f>9*2.1*($AE$10)*'Costo HH'!$E$6</f>
        <v>106844.06250000001</v>
      </c>
      <c r="AH20" s="46">
        <v>3</v>
      </c>
      <c r="AI20" s="47">
        <v>40</v>
      </c>
      <c r="AJ20" s="55">
        <f>AI20*($AH$10)*'Costo HH'!$E$6</f>
        <v>60300</v>
      </c>
      <c r="AK20" s="170"/>
      <c r="AL20" s="187"/>
      <c r="AM20" s="188"/>
      <c r="AN20" s="170"/>
      <c r="AO20" s="187"/>
      <c r="AP20" s="188"/>
      <c r="AQ20" s="46">
        <v>5</v>
      </c>
      <c r="AR20" s="47">
        <v>100</v>
      </c>
      <c r="AS20" s="55">
        <f>AR20*($AQ$10)*'Costo HH'!$E$6</f>
        <v>150750</v>
      </c>
      <c r="AU20" s="62">
        <f t="shared" si="0"/>
        <v>23</v>
      </c>
      <c r="AV20" s="47">
        <f t="shared" si="1"/>
        <v>359.1</v>
      </c>
      <c r="AW20" s="48">
        <f t="shared" si="2"/>
        <v>979686.5625</v>
      </c>
      <c r="AY20" s="70">
        <f>+SUM(AV20:AV27)</f>
        <v>1858.22</v>
      </c>
      <c r="AZ20" s="33">
        <f>+AY20/($AY$14+$AY$20+$AY$28+$AY$32)</f>
        <v>0.22545713970257261</v>
      </c>
      <c r="BA20" s="70">
        <f>+SUM(AW20:AW27)</f>
        <v>4781940.75</v>
      </c>
      <c r="BB20" s="33">
        <f>+BA20/($BA$14+$BA$20+$BA$28+$BA$32)</f>
        <v>0.14930237500412089</v>
      </c>
    </row>
    <row r="21" spans="1:54" x14ac:dyDescent="0.25">
      <c r="A21" s="214" t="s">
        <v>11</v>
      </c>
      <c r="B21" s="235" t="s">
        <v>365</v>
      </c>
      <c r="C21" s="30" t="s">
        <v>391</v>
      </c>
      <c r="D21" s="228"/>
      <c r="E21" s="97"/>
      <c r="F21" s="58"/>
      <c r="G21" s="42"/>
      <c r="H21" s="43"/>
      <c r="I21" s="58"/>
      <c r="J21" s="63"/>
      <c r="K21" s="42"/>
      <c r="L21" s="58"/>
      <c r="M21" s="63">
        <v>0</v>
      </c>
      <c r="N21" s="42"/>
      <c r="O21" s="58">
        <f>9*0*($M$10)*'Costo HH'!$E$8</f>
        <v>0</v>
      </c>
      <c r="P21" s="145"/>
      <c r="Q21" s="146"/>
      <c r="R21" s="147"/>
      <c r="S21" s="41"/>
      <c r="T21" s="97">
        <f>9*0.15</f>
        <v>1.3499999999999999</v>
      </c>
      <c r="U21" s="58">
        <f>9*1.1*($S$9)*'Costo HH'!$E$6</f>
        <v>3731.0625000000005</v>
      </c>
      <c r="V21" s="63">
        <v>0</v>
      </c>
      <c r="W21" s="97">
        <f>9*0</f>
        <v>0</v>
      </c>
      <c r="X21" s="58">
        <f>9*0*($S$9)*'Costo HH'!$E$6</f>
        <v>0</v>
      </c>
      <c r="Y21" s="42">
        <v>1</v>
      </c>
      <c r="Z21" s="43">
        <v>15.3</v>
      </c>
      <c r="AA21" s="58">
        <f>9*0*($Y$9)*'Costo HH'!$E$6</f>
        <v>0</v>
      </c>
      <c r="AB21" s="64">
        <v>1</v>
      </c>
      <c r="AC21" s="34">
        <v>0</v>
      </c>
      <c r="AD21" s="56">
        <f>9*0.5*($AB$9)*'Costo HH'!$E$6</f>
        <v>14132.8125</v>
      </c>
      <c r="AE21" s="42">
        <v>1</v>
      </c>
      <c r="AF21" s="43">
        <v>1</v>
      </c>
      <c r="AG21" s="58">
        <f>9*0.45*($AE$10)*'Costo HH'!$E$6</f>
        <v>22895.15625</v>
      </c>
      <c r="AH21" s="42">
        <v>1</v>
      </c>
      <c r="AI21" s="43">
        <v>4</v>
      </c>
      <c r="AJ21" s="58">
        <f>AI21*($AH$10)*'Costo HH'!$E$6</f>
        <v>6030</v>
      </c>
      <c r="AK21" s="179"/>
      <c r="AL21" s="189"/>
      <c r="AM21" s="190"/>
      <c r="AN21" s="179"/>
      <c r="AO21" s="189"/>
      <c r="AP21" s="190"/>
      <c r="AQ21" s="42">
        <v>1</v>
      </c>
      <c r="AR21" s="43">
        <v>20</v>
      </c>
      <c r="AS21" s="58">
        <f>AR21*($AQ$10)*'Costo HH'!$E$6</f>
        <v>30150</v>
      </c>
      <c r="AU21" s="64">
        <f t="shared" si="0"/>
        <v>5</v>
      </c>
      <c r="AV21" s="34">
        <f t="shared" si="1"/>
        <v>41.650000000000006</v>
      </c>
      <c r="AW21" s="49">
        <f t="shared" si="2"/>
        <v>76939.03125</v>
      </c>
    </row>
    <row r="22" spans="1:54" x14ac:dyDescent="0.25">
      <c r="A22" s="214" t="s">
        <v>11</v>
      </c>
      <c r="B22" s="235" t="s">
        <v>365</v>
      </c>
      <c r="C22" s="30" t="s">
        <v>390</v>
      </c>
      <c r="D22" s="228">
        <v>2</v>
      </c>
      <c r="E22" s="97"/>
      <c r="F22" s="58"/>
      <c r="G22" s="42">
        <v>1</v>
      </c>
      <c r="H22" s="43"/>
      <c r="I22" s="58"/>
      <c r="J22" s="63">
        <v>0</v>
      </c>
      <c r="K22" s="42"/>
      <c r="L22" s="58"/>
      <c r="M22" s="63">
        <v>0</v>
      </c>
      <c r="N22" s="42"/>
      <c r="O22" s="58">
        <f>9*0*($M$10)*'Costo HH'!$E$8</f>
        <v>0</v>
      </c>
      <c r="P22" s="145"/>
      <c r="Q22" s="146"/>
      <c r="R22" s="147"/>
      <c r="S22" s="41">
        <v>1</v>
      </c>
      <c r="T22" s="97">
        <f>9*0.23</f>
        <v>2.0700000000000003</v>
      </c>
      <c r="U22" s="58">
        <f>9*0.1*($S$9)*'Costo HH'!$E$6</f>
        <v>339.1875</v>
      </c>
      <c r="V22" s="63">
        <v>0</v>
      </c>
      <c r="W22" s="97">
        <f>9*0</f>
        <v>0</v>
      </c>
      <c r="X22" s="58">
        <f>9*0*($S$9)*'Costo HH'!$E$6</f>
        <v>0</v>
      </c>
      <c r="Y22" s="42">
        <v>1</v>
      </c>
      <c r="Z22" s="43">
        <v>0</v>
      </c>
      <c r="AA22" s="58">
        <f>9*0*($Y$9)*'Costo HH'!$E$6</f>
        <v>0</v>
      </c>
      <c r="AB22" s="64">
        <v>1</v>
      </c>
      <c r="AC22" s="34">
        <v>113.4</v>
      </c>
      <c r="AD22" s="56">
        <f>9*0.5*($AB$9)*'Costo HH'!$E$6</f>
        <v>14132.8125</v>
      </c>
      <c r="AE22" s="42">
        <v>0</v>
      </c>
      <c r="AF22" s="43">
        <v>0</v>
      </c>
      <c r="AG22" s="58">
        <f>9*0*($AE$10)*'Costo HH'!$E$6</f>
        <v>0</v>
      </c>
      <c r="AH22" s="42">
        <v>0</v>
      </c>
      <c r="AI22" s="43">
        <v>0</v>
      </c>
      <c r="AJ22" s="58">
        <f>AI22*($AH$10)*'Costo HH'!$E$6</f>
        <v>0</v>
      </c>
      <c r="AK22" s="179"/>
      <c r="AL22" s="189"/>
      <c r="AM22" s="190"/>
      <c r="AN22" s="179"/>
      <c r="AO22" s="189"/>
      <c r="AP22" s="190"/>
      <c r="AQ22" s="42">
        <v>0</v>
      </c>
      <c r="AR22" s="43">
        <v>0</v>
      </c>
      <c r="AS22" s="58">
        <f>AR22*($AQ$10)*'Costo HH'!$E$6</f>
        <v>0</v>
      </c>
      <c r="AU22" s="64">
        <f t="shared" si="0"/>
        <v>6</v>
      </c>
      <c r="AV22" s="34">
        <f t="shared" si="1"/>
        <v>115.47</v>
      </c>
      <c r="AW22" s="49">
        <f t="shared" si="2"/>
        <v>14472</v>
      </c>
    </row>
    <row r="23" spans="1:54" x14ac:dyDescent="0.25">
      <c r="A23" s="214" t="s">
        <v>11</v>
      </c>
      <c r="B23" s="235" t="s">
        <v>365</v>
      </c>
      <c r="C23" s="30" t="s">
        <v>598</v>
      </c>
      <c r="D23" s="212">
        <v>0</v>
      </c>
      <c r="E23" s="87">
        <v>0</v>
      </c>
      <c r="F23" s="56">
        <v>0</v>
      </c>
      <c r="G23" s="42">
        <v>2</v>
      </c>
      <c r="H23" s="43">
        <f>9*3</f>
        <v>27</v>
      </c>
      <c r="I23" s="58">
        <v>0</v>
      </c>
      <c r="J23" s="63">
        <v>4</v>
      </c>
      <c r="K23" s="42">
        <f>9*4</f>
        <v>36</v>
      </c>
      <c r="L23" s="56">
        <f>9*0.5*($J$9+$J$10)*'Costo HH'!$E$4</f>
        <v>146039.0625</v>
      </c>
      <c r="M23" s="63">
        <v>1</v>
      </c>
      <c r="N23" s="42">
        <f>9*0.4</f>
        <v>3.6</v>
      </c>
      <c r="O23" s="58">
        <f>9*0.2*($M$10)*'Costo HH'!$E$8</f>
        <v>1959.7500000000002</v>
      </c>
      <c r="P23" s="145"/>
      <c r="Q23" s="146"/>
      <c r="R23" s="147"/>
      <c r="S23" s="39">
        <v>0</v>
      </c>
      <c r="T23" s="87">
        <v>0</v>
      </c>
      <c r="U23" s="56">
        <f>9*0*($S$9)*'Costo HH'!$E$6</f>
        <v>0</v>
      </c>
      <c r="V23" s="63">
        <v>1</v>
      </c>
      <c r="W23" s="87">
        <f>9*3.5</f>
        <v>31.5</v>
      </c>
      <c r="X23" s="56">
        <f>9*1.5*($S$9)*'Costo HH'!$E$6</f>
        <v>5087.8125</v>
      </c>
      <c r="Y23" s="42">
        <v>4</v>
      </c>
      <c r="Z23" s="43">
        <v>61.2</v>
      </c>
      <c r="AA23" s="56">
        <f>9*5/2*($Y$10)*'Costo HH'!$E$6</f>
        <v>141328.125</v>
      </c>
      <c r="AB23" s="64">
        <v>2</v>
      </c>
      <c r="AC23" s="34">
        <v>32.4</v>
      </c>
      <c r="AD23" s="56">
        <f>9*1*($AB$9)*'Costo HH'!$E$6</f>
        <v>28265.625</v>
      </c>
      <c r="AE23" s="42">
        <v>2</v>
      </c>
      <c r="AF23" s="43">
        <v>12</v>
      </c>
      <c r="AG23" s="56">
        <f>9*12/2*($AE$10)*'Costo HH'!$E$6</f>
        <v>305268.75</v>
      </c>
      <c r="AH23" s="42">
        <v>2</v>
      </c>
      <c r="AI23" s="43">
        <v>25</v>
      </c>
      <c r="AJ23" s="58">
        <f>AI23*($AH$10)*'Costo HH'!$E$6</f>
        <v>37687.5</v>
      </c>
      <c r="AK23" s="179"/>
      <c r="AL23" s="189"/>
      <c r="AM23" s="190"/>
      <c r="AN23" s="179"/>
      <c r="AO23" s="189"/>
      <c r="AP23" s="190"/>
      <c r="AQ23" s="42">
        <v>2</v>
      </c>
      <c r="AR23" s="43">
        <v>50</v>
      </c>
      <c r="AS23" s="58">
        <f>AR23*($AQ$10)*'Costo HH'!$E$6</f>
        <v>75375</v>
      </c>
      <c r="AU23" s="64">
        <f t="shared" si="0"/>
        <v>20</v>
      </c>
      <c r="AV23" s="34">
        <f t="shared" si="1"/>
        <v>278.70000000000005</v>
      </c>
      <c r="AW23" s="49">
        <f t="shared" si="2"/>
        <v>741011.625</v>
      </c>
    </row>
    <row r="24" spans="1:54" x14ac:dyDescent="0.25">
      <c r="A24" s="214" t="s">
        <v>11</v>
      </c>
      <c r="B24" s="235" t="s">
        <v>366</v>
      </c>
      <c r="C24" s="30" t="s">
        <v>22</v>
      </c>
      <c r="D24" s="212">
        <v>1</v>
      </c>
      <c r="E24" s="87">
        <f>9*1</f>
        <v>9</v>
      </c>
      <c r="F24" s="56">
        <f>9*1*(D9+D10)*'Costo HH'!E5</f>
        <v>22612.5</v>
      </c>
      <c r="G24" s="38">
        <v>1</v>
      </c>
      <c r="H24" s="34">
        <f>9*4</f>
        <v>36</v>
      </c>
      <c r="I24" s="56">
        <f>9*1*(G9+G10)*'Costo HH'!E5</f>
        <v>40702.5</v>
      </c>
      <c r="J24" s="64">
        <v>2</v>
      </c>
      <c r="K24" s="38">
        <f>9*2</f>
        <v>18</v>
      </c>
      <c r="L24" s="56">
        <f>9*1*($J$9+$J$10)*'Costo HH'!$E$4</f>
        <v>292078.125</v>
      </c>
      <c r="M24" s="64">
        <v>0</v>
      </c>
      <c r="N24" s="42">
        <f>9*0.5</f>
        <v>4.5</v>
      </c>
      <c r="O24" s="58">
        <v>0</v>
      </c>
      <c r="P24" s="145"/>
      <c r="Q24" s="146"/>
      <c r="R24" s="147"/>
      <c r="S24" s="39">
        <v>0</v>
      </c>
      <c r="T24" s="87">
        <v>0</v>
      </c>
      <c r="U24" s="56">
        <f>9*0*($S$9)*'Costo HH'!$E$6</f>
        <v>0</v>
      </c>
      <c r="V24" s="64">
        <v>1</v>
      </c>
      <c r="W24" s="87">
        <f>9*2</f>
        <v>18</v>
      </c>
      <c r="X24" s="56">
        <f>9*0.2*($S$9)*'Costo HH'!$E$6</f>
        <v>678.375</v>
      </c>
      <c r="Y24" s="38">
        <v>1</v>
      </c>
      <c r="Z24" s="34">
        <v>15.3</v>
      </c>
      <c r="AA24" s="56">
        <f>9*1/2*($Y$10)*'Costo HH'!$E$6</f>
        <v>28265.625</v>
      </c>
      <c r="AB24" s="64">
        <v>1</v>
      </c>
      <c r="AC24" s="34">
        <v>81</v>
      </c>
      <c r="AD24" s="56">
        <f>9*0.4*($AB$9)*'Costo HH'!$E$6</f>
        <v>11306.25</v>
      </c>
      <c r="AE24" s="38">
        <v>1</v>
      </c>
      <c r="AF24" s="34">
        <v>1</v>
      </c>
      <c r="AG24" s="56">
        <f>9*0.46*($AE$10)*'Costo HH'!$E$6</f>
        <v>23403.9375</v>
      </c>
      <c r="AH24" s="38">
        <v>2</v>
      </c>
      <c r="AI24" s="34">
        <v>15</v>
      </c>
      <c r="AJ24" s="58">
        <f>AI24*($AH$10)*'Costo HH'!$E$6</f>
        <v>22612.5</v>
      </c>
      <c r="AK24" s="173"/>
      <c r="AL24" s="191"/>
      <c r="AM24" s="192"/>
      <c r="AN24" s="173"/>
      <c r="AO24" s="191"/>
      <c r="AP24" s="192"/>
      <c r="AQ24" s="38">
        <v>1</v>
      </c>
      <c r="AR24" s="34">
        <v>17</v>
      </c>
      <c r="AS24" s="58">
        <f>AR24*($AQ$10)*'Costo HH'!$E$6</f>
        <v>25627.5</v>
      </c>
      <c r="AU24" s="64">
        <f t="shared" si="0"/>
        <v>11</v>
      </c>
      <c r="AV24" s="34">
        <f t="shared" si="1"/>
        <v>214.8</v>
      </c>
      <c r="AW24" s="49">
        <f t="shared" si="2"/>
        <v>467287.3125</v>
      </c>
    </row>
    <row r="25" spans="1:54" x14ac:dyDescent="0.25">
      <c r="A25" s="214" t="s">
        <v>11</v>
      </c>
      <c r="B25" s="235" t="s">
        <v>366</v>
      </c>
      <c r="C25" s="30" t="s">
        <v>396</v>
      </c>
      <c r="D25" s="212">
        <v>1</v>
      </c>
      <c r="E25" s="87">
        <f>9*2</f>
        <v>18</v>
      </c>
      <c r="F25" s="56">
        <f>9*2*(D9+D10)*'Costo HH'!E6</f>
        <v>33918.75</v>
      </c>
      <c r="G25" s="38">
        <v>1</v>
      </c>
      <c r="H25" s="34">
        <f>9*2</f>
        <v>18</v>
      </c>
      <c r="I25" s="56">
        <f>9*2*(G9+G10)*'Costo HH'!E6</f>
        <v>61053.75</v>
      </c>
      <c r="J25" s="64">
        <v>4</v>
      </c>
      <c r="K25" s="38">
        <f>9*3</f>
        <v>27</v>
      </c>
      <c r="L25" s="56">
        <f>9*2*($J$9+$J$10)*'Costo HH'!$E$4</f>
        <v>584156.25</v>
      </c>
      <c r="M25" s="64">
        <v>1</v>
      </c>
      <c r="N25" s="38">
        <f>9*0.8</f>
        <v>7.2</v>
      </c>
      <c r="O25" s="58">
        <f>9*0.1*($M$10)*'Costo HH'!$E$8</f>
        <v>979.87500000000011</v>
      </c>
      <c r="P25" s="145"/>
      <c r="Q25" s="146"/>
      <c r="R25" s="147"/>
      <c r="S25" s="39">
        <v>0</v>
      </c>
      <c r="T25" s="87">
        <v>0</v>
      </c>
      <c r="U25" s="56">
        <f>9*0*($S$9)*'Costo HH'!$E$6</f>
        <v>0</v>
      </c>
      <c r="V25" s="64">
        <v>0</v>
      </c>
      <c r="W25" s="87">
        <f>9*1.5</f>
        <v>13.5</v>
      </c>
      <c r="X25" s="56">
        <f>9*0.4*($S$9)*'Costo HH'!$E$6</f>
        <v>1356.75</v>
      </c>
      <c r="Y25" s="38">
        <v>0</v>
      </c>
      <c r="Z25" s="34">
        <v>15.3</v>
      </c>
      <c r="AA25" s="56">
        <f>9*1/2*($Y$10)*'Costo HH'!$E$6</f>
        <v>28265.625</v>
      </c>
      <c r="AB25" s="64">
        <v>3</v>
      </c>
      <c r="AC25" s="34">
        <v>0</v>
      </c>
      <c r="AD25" s="56">
        <f>9*2*($AB$9)*'Costo HH'!$E$6</f>
        <v>56531.25</v>
      </c>
      <c r="AE25" s="38">
        <v>1</v>
      </c>
      <c r="AF25" s="34">
        <v>4</v>
      </c>
      <c r="AG25" s="56">
        <f>9*2*($AE$10)*'Costo HH'!$E$6</f>
        <v>101756.25</v>
      </c>
      <c r="AH25" s="38">
        <v>2</v>
      </c>
      <c r="AI25" s="34">
        <v>15</v>
      </c>
      <c r="AJ25" s="58">
        <f>AI25*($AH$10)*'Costo HH'!$E$6</f>
        <v>22612.5</v>
      </c>
      <c r="AK25" s="173"/>
      <c r="AL25" s="191"/>
      <c r="AM25" s="192"/>
      <c r="AN25" s="173"/>
      <c r="AO25" s="191"/>
      <c r="AP25" s="192"/>
      <c r="AQ25" s="38">
        <v>1</v>
      </c>
      <c r="AR25" s="34">
        <v>10</v>
      </c>
      <c r="AS25" s="58">
        <f>AR25*($AQ$10)*'Costo HH'!$E$6</f>
        <v>15075</v>
      </c>
      <c r="AU25" s="64">
        <f t="shared" si="0"/>
        <v>14</v>
      </c>
      <c r="AV25" s="34">
        <f t="shared" si="1"/>
        <v>128</v>
      </c>
      <c r="AW25" s="49">
        <f t="shared" si="2"/>
        <v>905706</v>
      </c>
    </row>
    <row r="26" spans="1:54" x14ac:dyDescent="0.25">
      <c r="A26" s="214" t="s">
        <v>11</v>
      </c>
      <c r="B26" s="235" t="s">
        <v>366</v>
      </c>
      <c r="C26" s="30" t="s">
        <v>377</v>
      </c>
      <c r="D26" s="212">
        <v>4</v>
      </c>
      <c r="E26" s="87">
        <f>9*15</f>
        <v>135</v>
      </c>
      <c r="F26" s="56">
        <f>9*10*(D9+D10)*'Costo HH'!E7</f>
        <v>141328.125</v>
      </c>
      <c r="G26" s="38">
        <v>1</v>
      </c>
      <c r="H26" s="34">
        <f>9*1</f>
        <v>9</v>
      </c>
      <c r="I26" s="56">
        <f>9*10*(G9+G10)*'Costo HH'!E7</f>
        <v>254390.625</v>
      </c>
      <c r="J26" s="64">
        <v>1</v>
      </c>
      <c r="K26" s="38">
        <f>9*4</f>
        <v>36</v>
      </c>
      <c r="L26" s="56">
        <f>9*0.5*($J$9+$J$10)*'Costo HH'!$E$4</f>
        <v>146039.0625</v>
      </c>
      <c r="M26" s="64">
        <v>1</v>
      </c>
      <c r="N26" s="38">
        <f>9*1</f>
        <v>9</v>
      </c>
      <c r="O26" s="58">
        <f>9*0.1*($M$10)*'Costo HH'!$E$8</f>
        <v>979.87500000000011</v>
      </c>
      <c r="P26" s="145"/>
      <c r="Q26" s="146"/>
      <c r="R26" s="147"/>
      <c r="S26" s="39">
        <v>1</v>
      </c>
      <c r="T26" s="87">
        <f>9*1.4</f>
        <v>12.6</v>
      </c>
      <c r="U26" s="56">
        <f>9*0.2*($S$9)*'Costo HH'!$E$6</f>
        <v>678.375</v>
      </c>
      <c r="V26" s="64">
        <v>1</v>
      </c>
      <c r="W26" s="87">
        <f>9*1</f>
        <v>9</v>
      </c>
      <c r="X26" s="56">
        <f>9*0.3*($S$9)*'Costo HH'!$E$6</f>
        <v>1017.5625</v>
      </c>
      <c r="Y26" s="38">
        <v>3</v>
      </c>
      <c r="Z26" s="34">
        <v>15.3</v>
      </c>
      <c r="AA26" s="56">
        <f>9*2/2*($Y$10)*'Costo HH'!$E$6</f>
        <v>56531.25</v>
      </c>
      <c r="AB26" s="64">
        <v>0</v>
      </c>
      <c r="AC26" s="34">
        <v>48.6</v>
      </c>
      <c r="AD26" s="56">
        <f>9*0*($AB$9)*'Costo HH'!$E$6</f>
        <v>0</v>
      </c>
      <c r="AE26" s="38">
        <v>2</v>
      </c>
      <c r="AF26" s="34">
        <v>5</v>
      </c>
      <c r="AG26" s="56">
        <f>9*5/2*($AE$10)*'Costo HH'!$E$6</f>
        <v>127195.3125</v>
      </c>
      <c r="AH26" s="38">
        <v>3</v>
      </c>
      <c r="AI26" s="34">
        <v>40</v>
      </c>
      <c r="AJ26" s="58">
        <f>AI26*($AH$10)*'Costo HH'!$E$6</f>
        <v>60300</v>
      </c>
      <c r="AK26" s="173"/>
      <c r="AL26" s="191"/>
      <c r="AM26" s="192"/>
      <c r="AN26" s="173"/>
      <c r="AO26" s="191"/>
      <c r="AP26" s="192"/>
      <c r="AQ26" s="38">
        <v>5</v>
      </c>
      <c r="AR26" s="34">
        <v>65</v>
      </c>
      <c r="AS26" s="58">
        <f>AR26*($AQ$10)*'Costo HH'!$E$6</f>
        <v>97987.5</v>
      </c>
      <c r="AU26" s="64">
        <f t="shared" si="0"/>
        <v>22</v>
      </c>
      <c r="AV26" s="34">
        <f t="shared" si="1"/>
        <v>384.5</v>
      </c>
      <c r="AW26" s="49">
        <f t="shared" si="2"/>
        <v>886447.6875</v>
      </c>
    </row>
    <row r="27" spans="1:54" ht="15.75" thickBot="1" x14ac:dyDescent="0.3">
      <c r="A27" s="208" t="s">
        <v>11</v>
      </c>
      <c r="B27" s="236" t="s">
        <v>366</v>
      </c>
      <c r="C27" s="229" t="s">
        <v>378</v>
      </c>
      <c r="D27" s="213">
        <v>3</v>
      </c>
      <c r="E27" s="89">
        <f>9*10</f>
        <v>90</v>
      </c>
      <c r="F27" s="90">
        <f>9*5*(D9+D10)*'Costo HH'!E6</f>
        <v>84796.875</v>
      </c>
      <c r="G27" s="72">
        <v>4</v>
      </c>
      <c r="H27" s="73">
        <f>9*5</f>
        <v>45</v>
      </c>
      <c r="I27" s="90">
        <f>9*5*(G9+G10)*'Costo HH'!E6</f>
        <v>152634.375</v>
      </c>
      <c r="J27" s="65">
        <v>1</v>
      </c>
      <c r="K27" s="51">
        <f>9*2</f>
        <v>18</v>
      </c>
      <c r="L27" s="57">
        <f>9*0.75*(J9+J10)*'Costo HH'!E6</f>
        <v>131435.15625</v>
      </c>
      <c r="M27" s="65">
        <v>0</v>
      </c>
      <c r="N27" s="51">
        <f>9*0.2</f>
        <v>1.8</v>
      </c>
      <c r="O27" s="58">
        <f>9*0.2*($M$10)*'Costo HH'!$E$8</f>
        <v>1959.7500000000002</v>
      </c>
      <c r="P27" s="153"/>
      <c r="Q27" s="154"/>
      <c r="R27" s="155"/>
      <c r="S27" s="71">
        <v>0</v>
      </c>
      <c r="T27" s="89">
        <v>0</v>
      </c>
      <c r="U27" s="90">
        <f>9*0*($S$9)*'Costo HH'!$E$6</f>
        <v>0</v>
      </c>
      <c r="V27" s="65">
        <v>1</v>
      </c>
      <c r="W27" s="89">
        <f>9*5</f>
        <v>45</v>
      </c>
      <c r="X27" s="90">
        <f>9*2.5*($S$9)*'Costo HH'!$E$6</f>
        <v>8479.6875</v>
      </c>
      <c r="Y27" s="51">
        <v>2</v>
      </c>
      <c r="Z27" s="52">
        <v>30.6</v>
      </c>
      <c r="AA27" s="90">
        <f>9*2.5*($Y$10)*'Costo HH'!$E$6</f>
        <v>141328.125</v>
      </c>
      <c r="AB27" s="65">
        <v>0</v>
      </c>
      <c r="AC27" s="52">
        <v>48.6</v>
      </c>
      <c r="AD27" s="57">
        <f>9*0*($AB$9)*'Costo HH'!$E$6</f>
        <v>0</v>
      </c>
      <c r="AE27" s="51">
        <v>1</v>
      </c>
      <c r="AF27" s="52">
        <v>2</v>
      </c>
      <c r="AG27" s="90">
        <f>9*2.1*($AE$10)*'Costo HH'!$E$6</f>
        <v>106844.06250000001</v>
      </c>
      <c r="AH27" s="51">
        <v>1</v>
      </c>
      <c r="AI27" s="52">
        <v>5</v>
      </c>
      <c r="AJ27" s="90">
        <f>AI27*($AH$10)*'Costo HH'!$E$6</f>
        <v>7537.5</v>
      </c>
      <c r="AK27" s="176"/>
      <c r="AL27" s="193"/>
      <c r="AM27" s="194"/>
      <c r="AN27" s="176"/>
      <c r="AO27" s="193"/>
      <c r="AP27" s="194"/>
      <c r="AQ27" s="51">
        <v>3</v>
      </c>
      <c r="AR27" s="52">
        <v>50</v>
      </c>
      <c r="AS27" s="90">
        <f>AR27*($AQ$10)*'Costo HH'!$E$6</f>
        <v>75375</v>
      </c>
      <c r="AU27" s="185">
        <f t="shared" si="0"/>
        <v>16</v>
      </c>
      <c r="AV27" s="73">
        <f t="shared" si="1"/>
        <v>336</v>
      </c>
      <c r="AW27" s="195">
        <f t="shared" si="2"/>
        <v>710390.53125</v>
      </c>
    </row>
    <row r="28" spans="1:54" x14ac:dyDescent="0.25">
      <c r="A28" s="225" t="s">
        <v>20</v>
      </c>
      <c r="B28" s="237" t="s">
        <v>365</v>
      </c>
      <c r="C28" s="226" t="s">
        <v>373</v>
      </c>
      <c r="D28" s="230"/>
      <c r="E28" s="160"/>
      <c r="F28" s="161"/>
      <c r="G28" s="159"/>
      <c r="H28" s="160"/>
      <c r="I28" s="141"/>
      <c r="J28" s="46">
        <v>1</v>
      </c>
      <c r="K28" s="46">
        <v>0</v>
      </c>
      <c r="L28" s="55">
        <f>9*1.5*($J$9+$J$10)*'Costo HH'!E4</f>
        <v>438117.1875</v>
      </c>
      <c r="M28" s="62">
        <v>0</v>
      </c>
      <c r="N28" s="46">
        <v>0</v>
      </c>
      <c r="O28" s="92">
        <v>0</v>
      </c>
      <c r="P28" s="62">
        <v>1</v>
      </c>
      <c r="Q28" s="47">
        <f>9*2</f>
        <v>18</v>
      </c>
      <c r="R28" s="182">
        <f>9*0.5*($P$9)*'Costo HH'!$E$4</f>
        <v>3768.75</v>
      </c>
      <c r="S28" s="62">
        <v>1</v>
      </c>
      <c r="T28" s="47">
        <f>9*1.6</f>
        <v>14.4</v>
      </c>
      <c r="U28" s="55">
        <f>9*1.5*($S$9)*'Costo HH'!$E$6</f>
        <v>5087.8125</v>
      </c>
      <c r="V28" s="171"/>
      <c r="W28" s="171"/>
      <c r="X28" s="172"/>
      <c r="Y28" s="46">
        <v>2</v>
      </c>
      <c r="Z28" s="47">
        <v>45.9</v>
      </c>
      <c r="AA28" s="55">
        <f>9*3/2*($Y$9)*'Costo HH'!$E$6</f>
        <v>25439.0625</v>
      </c>
      <c r="AB28" s="139"/>
      <c r="AC28" s="140"/>
      <c r="AD28" s="141"/>
      <c r="AE28" s="46">
        <v>3</v>
      </c>
      <c r="AF28" s="43">
        <v>16.2</v>
      </c>
      <c r="AG28" s="55">
        <f>9*16/2*($AE$9)*'Costo HH'!$E$6</f>
        <v>90450</v>
      </c>
      <c r="AH28" s="139"/>
      <c r="AI28" s="140"/>
      <c r="AJ28" s="141"/>
      <c r="AK28" s="46">
        <v>2</v>
      </c>
      <c r="AL28" s="43">
        <v>20</v>
      </c>
      <c r="AM28" s="55">
        <f>AL28*($AK$9)*'Costo HH'!$E$6</f>
        <v>42712.5</v>
      </c>
      <c r="AN28" s="46">
        <v>2</v>
      </c>
      <c r="AO28" s="43">
        <v>30</v>
      </c>
      <c r="AP28" s="55">
        <f>AO28*($AN$9)*'Costo HH'!$E$6</f>
        <v>82912.5</v>
      </c>
      <c r="AQ28" s="170"/>
      <c r="AR28" s="187"/>
      <c r="AS28" s="188"/>
      <c r="AU28" s="62">
        <f t="shared" si="0"/>
        <v>12</v>
      </c>
      <c r="AV28" s="47">
        <f t="shared" si="1"/>
        <v>144.5</v>
      </c>
      <c r="AW28" s="48">
        <f t="shared" si="2"/>
        <v>688487.8125</v>
      </c>
      <c r="AY28" s="70">
        <f>+SUM(AV28:AV31)</f>
        <v>716.56999999999994</v>
      </c>
      <c r="AZ28" s="33">
        <f>+AY28/($AY$14+$AY$20+$AY$28+$AY$32)</f>
        <v>8.6941170903699475E-2</v>
      </c>
      <c r="BA28" s="70">
        <f>+SUM(AW28:AW31)</f>
        <v>2365074.0375000001</v>
      </c>
      <c r="BB28" s="33">
        <f>+BA28/($BA$14+$BA$20+$BA$28+$BA$32)</f>
        <v>7.3842648690144327E-2</v>
      </c>
    </row>
    <row r="29" spans="1:54" x14ac:dyDescent="0.25">
      <c r="A29" s="214" t="s">
        <v>20</v>
      </c>
      <c r="B29" s="199" t="s">
        <v>367</v>
      </c>
      <c r="C29" s="30" t="s">
        <v>374</v>
      </c>
      <c r="D29" s="231"/>
      <c r="E29" s="149"/>
      <c r="F29" s="162"/>
      <c r="G29" s="148"/>
      <c r="H29" s="149"/>
      <c r="I29" s="147"/>
      <c r="J29" s="38">
        <v>0</v>
      </c>
      <c r="K29" s="38">
        <f>9*2</f>
        <v>18</v>
      </c>
      <c r="L29" s="56">
        <f>9*1.3*($J$9+$J$10)*'Costo HH'!$E$4</f>
        <v>379701.56250000006</v>
      </c>
      <c r="M29" s="64">
        <v>1</v>
      </c>
      <c r="N29" s="38">
        <f>9*0.2</f>
        <v>1.8</v>
      </c>
      <c r="O29" s="93">
        <f>9*0.25*($M$10)*'Costo HH'!$E$8</f>
        <v>2449.6875</v>
      </c>
      <c r="P29" s="64">
        <v>1</v>
      </c>
      <c r="Q29" s="34">
        <f>9*5</f>
        <v>45</v>
      </c>
      <c r="R29" s="183">
        <f>9*1.07*($P$9)*'Costo HH'!$E$4</f>
        <v>8065.1250000000009</v>
      </c>
      <c r="S29" s="64">
        <v>1</v>
      </c>
      <c r="T29" s="34">
        <f>9*0.23</f>
        <v>2.0700000000000003</v>
      </c>
      <c r="U29" s="56">
        <f>9*0.8*($S$9)*'Costo HH'!$E$6</f>
        <v>2713.5</v>
      </c>
      <c r="V29" s="174"/>
      <c r="W29" s="174"/>
      <c r="X29" s="175"/>
      <c r="Y29" s="38">
        <v>1</v>
      </c>
      <c r="Z29" s="34">
        <v>45.9</v>
      </c>
      <c r="AA29" s="56">
        <f>9*3/2*($Y$9)*'Costo HH'!$E$6</f>
        <v>25439.0625</v>
      </c>
      <c r="AB29" s="142"/>
      <c r="AC29" s="143"/>
      <c r="AD29" s="144"/>
      <c r="AE29" s="38">
        <v>1</v>
      </c>
      <c r="AF29" s="34">
        <v>24</v>
      </c>
      <c r="AG29" s="56">
        <f>9*18/2*($AE$9)*'Costo HH'!$E$6</f>
        <v>101756.25</v>
      </c>
      <c r="AH29" s="142"/>
      <c r="AI29" s="143"/>
      <c r="AJ29" s="144"/>
      <c r="AK29" s="38">
        <v>1</v>
      </c>
      <c r="AL29" s="34">
        <v>20</v>
      </c>
      <c r="AM29" s="56">
        <f>AL29*($AK$9)*'Costo HH'!$E$6</f>
        <v>42712.5</v>
      </c>
      <c r="AN29" s="38">
        <v>1</v>
      </c>
      <c r="AO29" s="34">
        <v>30</v>
      </c>
      <c r="AP29" s="56">
        <f>AO29*($AN$9)*'Costo HH'!$E$6</f>
        <v>82912.5</v>
      </c>
      <c r="AQ29" s="173"/>
      <c r="AR29" s="191"/>
      <c r="AS29" s="192"/>
      <c r="AU29" s="64">
        <f t="shared" si="0"/>
        <v>7</v>
      </c>
      <c r="AV29" s="34">
        <f t="shared" si="1"/>
        <v>186.77</v>
      </c>
      <c r="AW29" s="49">
        <f t="shared" si="2"/>
        <v>645750.1875</v>
      </c>
    </row>
    <row r="30" spans="1:54" x14ac:dyDescent="0.25">
      <c r="A30" s="214" t="s">
        <v>20</v>
      </c>
      <c r="B30" s="199" t="s">
        <v>367</v>
      </c>
      <c r="C30" s="30" t="s">
        <v>375</v>
      </c>
      <c r="D30" s="231"/>
      <c r="E30" s="149"/>
      <c r="F30" s="162"/>
      <c r="G30" s="148"/>
      <c r="H30" s="149"/>
      <c r="I30" s="147"/>
      <c r="J30" s="38">
        <v>2</v>
      </c>
      <c r="K30" s="38">
        <f>9*1</f>
        <v>9</v>
      </c>
      <c r="L30" s="56">
        <f>9*0.5*($J$9+$J$10)*'Costo HH'!$E$4</f>
        <v>146039.0625</v>
      </c>
      <c r="M30" s="64">
        <v>1</v>
      </c>
      <c r="N30" s="38">
        <f>9*0.2</f>
        <v>1.8</v>
      </c>
      <c r="O30" s="93">
        <f>9*0.45*($M$10)*'Costo HH'!$E$8</f>
        <v>4409.4375</v>
      </c>
      <c r="P30" s="64">
        <v>1</v>
      </c>
      <c r="Q30" s="34">
        <f>9*2</f>
        <v>18</v>
      </c>
      <c r="R30" s="183">
        <f>9*0.8*($P$9)*'Costo HH'!$E$4</f>
        <v>6030</v>
      </c>
      <c r="S30" s="64">
        <v>2</v>
      </c>
      <c r="T30" s="34">
        <f>9*3</f>
        <v>27</v>
      </c>
      <c r="U30" s="56">
        <f>9*1.3*($S$9)*'Costo HH'!$E$6</f>
        <v>4409.4375</v>
      </c>
      <c r="V30" s="174"/>
      <c r="W30" s="174"/>
      <c r="X30" s="175"/>
      <c r="Y30" s="38">
        <v>1</v>
      </c>
      <c r="Z30" s="34">
        <v>61.2</v>
      </c>
      <c r="AA30" s="56">
        <f>9*5/2*($Y$9)*'Costo HH'!$E$6</f>
        <v>42398.4375</v>
      </c>
      <c r="AB30" s="145"/>
      <c r="AC30" s="146"/>
      <c r="AD30" s="147"/>
      <c r="AE30" s="38">
        <v>1</v>
      </c>
      <c r="AF30" s="34">
        <v>22</v>
      </c>
      <c r="AG30" s="56">
        <f>9*10/2*($AE$9)*'Costo HH'!$E$6</f>
        <v>56531.25</v>
      </c>
      <c r="AH30" s="145"/>
      <c r="AI30" s="146"/>
      <c r="AJ30" s="147"/>
      <c r="AK30" s="38">
        <v>1</v>
      </c>
      <c r="AL30" s="34">
        <v>35</v>
      </c>
      <c r="AM30" s="56">
        <f>AL30*($AK$9)*'Costo HH'!$E$6</f>
        <v>74746.875</v>
      </c>
      <c r="AN30" s="38">
        <v>1</v>
      </c>
      <c r="AO30" s="34">
        <v>40</v>
      </c>
      <c r="AP30" s="56">
        <f>AO30*($AN$9)*'Costo HH'!$E$6</f>
        <v>110550</v>
      </c>
      <c r="AQ30" s="173"/>
      <c r="AR30" s="191"/>
      <c r="AS30" s="192"/>
      <c r="AU30" s="64">
        <f t="shared" si="0"/>
        <v>10</v>
      </c>
      <c r="AV30" s="34">
        <f t="shared" si="1"/>
        <v>214</v>
      </c>
      <c r="AW30" s="49">
        <f t="shared" si="2"/>
        <v>445114.5</v>
      </c>
    </row>
    <row r="31" spans="1:54" ht="15.75" thickBot="1" x14ac:dyDescent="0.3">
      <c r="A31" s="208" t="s">
        <v>20</v>
      </c>
      <c r="B31" s="238" t="s">
        <v>367</v>
      </c>
      <c r="C31" s="229" t="s">
        <v>376</v>
      </c>
      <c r="D31" s="232"/>
      <c r="E31" s="151"/>
      <c r="F31" s="163"/>
      <c r="G31" s="150"/>
      <c r="H31" s="151"/>
      <c r="I31" s="152"/>
      <c r="J31" s="51">
        <v>1</v>
      </c>
      <c r="K31" s="51">
        <f>9*3</f>
        <v>27</v>
      </c>
      <c r="L31" s="57">
        <f>9*0.65*($J$9+$J$10)*'Costo HH'!E4</f>
        <v>189850.78125000003</v>
      </c>
      <c r="M31" s="65">
        <v>1</v>
      </c>
      <c r="N31" s="51">
        <f>9*0.3</f>
        <v>2.6999999999999997</v>
      </c>
      <c r="O31" s="93">
        <f>9*0.22*($M$10)*'Costo HH'!$E$8</f>
        <v>2155.7249999999999</v>
      </c>
      <c r="P31" s="65">
        <v>0</v>
      </c>
      <c r="Q31" s="52">
        <f>9*1.2</f>
        <v>10.799999999999999</v>
      </c>
      <c r="R31" s="184">
        <f>9*0.45*($P$9+$P$10)*'Costo HH'!$E$4</f>
        <v>24591.093749999996</v>
      </c>
      <c r="S31" s="185">
        <v>1</v>
      </c>
      <c r="T31" s="73">
        <f>9*2.3</f>
        <v>20.7</v>
      </c>
      <c r="U31" s="90">
        <f>9*0.4*($S$9)*'Costo HH'!$E$6</f>
        <v>1356.75</v>
      </c>
      <c r="V31" s="177"/>
      <c r="W31" s="177"/>
      <c r="X31" s="178"/>
      <c r="Y31" s="51">
        <v>1</v>
      </c>
      <c r="Z31" s="52">
        <v>15.3</v>
      </c>
      <c r="AA31" s="90">
        <f>9*1/2*($Y$9)*'Costo HH'!$E$6</f>
        <v>8479.6875</v>
      </c>
      <c r="AB31" s="204"/>
      <c r="AC31" s="205"/>
      <c r="AD31" s="152"/>
      <c r="AE31" s="51">
        <v>2</v>
      </c>
      <c r="AF31" s="73">
        <v>64.8</v>
      </c>
      <c r="AG31" s="90">
        <f>9*50/2*($AE$9)*'Costo HH'!$E$6</f>
        <v>282656.25</v>
      </c>
      <c r="AH31" s="204"/>
      <c r="AI31" s="205"/>
      <c r="AJ31" s="152"/>
      <c r="AK31" s="51">
        <v>2</v>
      </c>
      <c r="AL31" s="73">
        <v>10</v>
      </c>
      <c r="AM31" s="90">
        <f>AL31*($AK$9)*'Costo HH'!$E$6</f>
        <v>21356.25</v>
      </c>
      <c r="AN31" s="51">
        <v>1</v>
      </c>
      <c r="AO31" s="73">
        <v>20</v>
      </c>
      <c r="AP31" s="90">
        <f>AO31*($AN$9)*'Costo HH'!$E$6</f>
        <v>55275</v>
      </c>
      <c r="AQ31" s="176"/>
      <c r="AR31" s="193"/>
      <c r="AS31" s="194"/>
      <c r="AU31" s="185">
        <f t="shared" si="0"/>
        <v>9</v>
      </c>
      <c r="AV31" s="73">
        <f t="shared" si="1"/>
        <v>171.3</v>
      </c>
      <c r="AW31" s="195">
        <f t="shared" si="2"/>
        <v>585721.53750000009</v>
      </c>
    </row>
    <row r="32" spans="1:54" x14ac:dyDescent="0.25">
      <c r="A32" s="217" t="s">
        <v>8</v>
      </c>
      <c r="B32" s="234" t="s">
        <v>380</v>
      </c>
      <c r="C32" s="226" t="s">
        <v>578</v>
      </c>
      <c r="D32" s="230"/>
      <c r="E32" s="160"/>
      <c r="F32" s="161"/>
      <c r="G32" s="159"/>
      <c r="H32" s="160"/>
      <c r="I32" s="141"/>
      <c r="J32" s="42">
        <v>12</v>
      </c>
      <c r="K32" s="42">
        <f>9*1</f>
        <v>9</v>
      </c>
      <c r="L32" s="55">
        <f>9*0.33*($J$9+$J$10)*'Costo HH'!E4</f>
        <v>96385.78125</v>
      </c>
      <c r="M32" s="62">
        <v>1</v>
      </c>
      <c r="N32" s="46">
        <f>9*0.1</f>
        <v>0.9</v>
      </c>
      <c r="O32" s="55">
        <f>9*1*($M$10)*'Costo HH'!$E$8</f>
        <v>9798.75</v>
      </c>
      <c r="P32" s="63">
        <v>5</v>
      </c>
      <c r="Q32" s="43">
        <f>9*0.8</f>
        <v>7.2</v>
      </c>
      <c r="R32" s="182">
        <f>9*0.5*($P$9+$P$10)*'Costo HH'!$E$4</f>
        <v>27323.4375</v>
      </c>
      <c r="S32" s="62">
        <v>3</v>
      </c>
      <c r="T32" s="47">
        <f>9*2</f>
        <v>18</v>
      </c>
      <c r="U32" s="55">
        <f>9*0.7*($S$9)*'Costo HH'!$E$6</f>
        <v>2374.3125</v>
      </c>
      <c r="V32" s="180"/>
      <c r="W32" s="180"/>
      <c r="X32" s="181"/>
      <c r="Y32" s="42">
        <v>1</v>
      </c>
      <c r="Z32" s="43">
        <v>15.3</v>
      </c>
      <c r="AA32" s="182">
        <f>9*1*($Y$10)*'Costo HH'!$E$6</f>
        <v>56531.25</v>
      </c>
      <c r="AB32" s="139"/>
      <c r="AC32" s="140"/>
      <c r="AD32" s="141"/>
      <c r="AE32" s="42">
        <v>4</v>
      </c>
      <c r="AF32" s="47">
        <v>48.6</v>
      </c>
      <c r="AG32" s="182">
        <f>9*49/12*($AE$10+AE9)*'Costo HH'!$E$6</f>
        <v>253919.53125</v>
      </c>
      <c r="AH32" s="139"/>
      <c r="AI32" s="140"/>
      <c r="AJ32" s="141"/>
      <c r="AK32" s="62">
        <v>1</v>
      </c>
      <c r="AL32" s="47">
        <v>25.200000000000003</v>
      </c>
      <c r="AM32" s="55">
        <f>25/9*($AK$10+AK9)*'Costo HH'!$E$6</f>
        <v>30359.375</v>
      </c>
      <c r="AN32" s="62">
        <v>1</v>
      </c>
      <c r="AO32" s="47">
        <v>18</v>
      </c>
      <c r="AP32" s="55">
        <f>25/9*($AN$10+AN9)*'Costo HH'!$E$6</f>
        <v>70489.583333333328</v>
      </c>
      <c r="AQ32" s="179"/>
      <c r="AR32" s="189"/>
      <c r="AS32" s="190"/>
      <c r="AU32" s="62">
        <f t="shared" si="0"/>
        <v>28</v>
      </c>
      <c r="AV32" s="47">
        <f t="shared" si="1"/>
        <v>142.19999999999999</v>
      </c>
      <c r="AW32" s="48">
        <f t="shared" si="2"/>
        <v>547182.02083333337</v>
      </c>
      <c r="AY32" s="70">
        <f>+SUM(AV32:AV72)</f>
        <v>5107.0699999999988</v>
      </c>
      <c r="AZ32" s="33">
        <f>+AY32/($AY$14+$AY$20+$AY$28+$AY$32)</f>
        <v>0.61963889876377243</v>
      </c>
      <c r="BA32" s="70">
        <f>+SUM(AW32:AW72)</f>
        <v>24274780.977083333</v>
      </c>
      <c r="BB32" s="33">
        <f>+BA32/($BA$14+$BA$20+$BA$28+$BA$32)</f>
        <v>0.75791036360778741</v>
      </c>
    </row>
    <row r="33" spans="1:49" x14ac:dyDescent="0.25">
      <c r="A33" s="218" t="s">
        <v>8</v>
      </c>
      <c r="B33" s="235" t="s">
        <v>380</v>
      </c>
      <c r="C33" s="30" t="s">
        <v>397</v>
      </c>
      <c r="D33" s="233"/>
      <c r="E33" s="165"/>
      <c r="F33" s="166"/>
      <c r="G33" s="164"/>
      <c r="H33" s="165"/>
      <c r="I33" s="144"/>
      <c r="J33" s="42"/>
      <c r="K33" s="42"/>
      <c r="L33" s="58"/>
      <c r="M33" s="63"/>
      <c r="N33" s="42"/>
      <c r="O33" s="58"/>
      <c r="P33" s="63"/>
      <c r="Q33" s="43"/>
      <c r="R33" s="93"/>
      <c r="S33" s="64"/>
      <c r="T33" s="34"/>
      <c r="U33" s="56"/>
      <c r="V33" s="180"/>
      <c r="W33" s="180"/>
      <c r="X33" s="181"/>
      <c r="Y33" s="42">
        <v>1</v>
      </c>
      <c r="Z33" s="43">
        <v>45.9</v>
      </c>
      <c r="AA33" s="183">
        <f>9*4/2*($Y$10)*'Costo HH'!$E$6</f>
        <v>113062.5</v>
      </c>
      <c r="AB33" s="145"/>
      <c r="AC33" s="146"/>
      <c r="AD33" s="147"/>
      <c r="AE33" s="42">
        <v>5</v>
      </c>
      <c r="AF33" s="34">
        <v>97.2</v>
      </c>
      <c r="AG33" s="183">
        <f>9*97/12*($AE$10+AE9)*'Costo HH'!$E$6</f>
        <v>502657.03125</v>
      </c>
      <c r="AH33" s="145"/>
      <c r="AI33" s="146"/>
      <c r="AJ33" s="147"/>
      <c r="AK33" s="63">
        <v>1</v>
      </c>
      <c r="AL33" s="43">
        <v>50.400000000000006</v>
      </c>
      <c r="AM33" s="56">
        <f>AL33/9*($AK$10+$AK$9)*'Costo HH'!$E$6</f>
        <v>61204.500000000007</v>
      </c>
      <c r="AN33" s="63">
        <v>1</v>
      </c>
      <c r="AO33" s="43">
        <v>9</v>
      </c>
      <c r="AP33" s="56">
        <f>AO33/9*($AN$10+$AN$9)*'Costo HH'!$E$6</f>
        <v>25376.25</v>
      </c>
      <c r="AQ33" s="191"/>
      <c r="AR33" s="191"/>
      <c r="AS33" s="191"/>
      <c r="AU33" s="64">
        <f t="shared" si="0"/>
        <v>8</v>
      </c>
      <c r="AV33" s="34">
        <f t="shared" si="1"/>
        <v>202.5</v>
      </c>
      <c r="AW33" s="49">
        <f t="shared" si="2"/>
        <v>702300.28125</v>
      </c>
    </row>
    <row r="34" spans="1:49" x14ac:dyDescent="0.25">
      <c r="A34" s="218" t="s">
        <v>8</v>
      </c>
      <c r="B34" s="235" t="s">
        <v>380</v>
      </c>
      <c r="C34" s="30" t="s">
        <v>394</v>
      </c>
      <c r="D34" s="233"/>
      <c r="E34" s="165"/>
      <c r="F34" s="166"/>
      <c r="G34" s="164"/>
      <c r="H34" s="165"/>
      <c r="I34" s="144"/>
      <c r="J34" s="42"/>
      <c r="K34" s="42"/>
      <c r="L34" s="58"/>
      <c r="M34" s="63"/>
      <c r="N34" s="42"/>
      <c r="O34" s="58"/>
      <c r="P34" s="63"/>
      <c r="Q34" s="43"/>
      <c r="R34" s="93"/>
      <c r="S34" s="64">
        <v>1</v>
      </c>
      <c r="T34" s="34">
        <f>9*1.4</f>
        <v>12.6</v>
      </c>
      <c r="U34" s="56">
        <f>9*0.3*($S$9)*'Costo HH'!$E$6</f>
        <v>1017.5625</v>
      </c>
      <c r="V34" s="180"/>
      <c r="W34" s="180"/>
      <c r="X34" s="181"/>
      <c r="Y34" s="42">
        <v>0</v>
      </c>
      <c r="Z34" s="43">
        <v>15.3</v>
      </c>
      <c r="AA34" s="183">
        <f>9*1.2*($Y$10)*'Costo HH'!$E$6</f>
        <v>67837.5</v>
      </c>
      <c r="AB34" s="145"/>
      <c r="AC34" s="146"/>
      <c r="AD34" s="147"/>
      <c r="AE34" s="42">
        <v>3</v>
      </c>
      <c r="AF34" s="34">
        <v>32.4</v>
      </c>
      <c r="AG34" s="183">
        <f>9*132/12*($AE$10+AE9)*'Costo HH'!$E$6</f>
        <v>684028.125</v>
      </c>
      <c r="AH34" s="145"/>
      <c r="AI34" s="146"/>
      <c r="AJ34" s="147"/>
      <c r="AK34" s="63">
        <v>1</v>
      </c>
      <c r="AL34" s="43">
        <v>63</v>
      </c>
      <c r="AM34" s="56">
        <f>AL34/9*($AK$10+$AK$9)*'Costo HH'!$E$6</f>
        <v>76505.625</v>
      </c>
      <c r="AN34" s="63">
        <v>1</v>
      </c>
      <c r="AO34" s="43">
        <v>36</v>
      </c>
      <c r="AP34" s="56">
        <f>AO34/9*($AN$10+$AN$9)*'Costo HH'!$E$6</f>
        <v>101505</v>
      </c>
      <c r="AQ34" s="191"/>
      <c r="AR34" s="191"/>
      <c r="AS34" s="191"/>
      <c r="AU34" s="64">
        <f t="shared" si="0"/>
        <v>6</v>
      </c>
      <c r="AV34" s="34">
        <f t="shared" si="1"/>
        <v>159.30000000000001</v>
      </c>
      <c r="AW34" s="49">
        <f t="shared" si="2"/>
        <v>930893.8125</v>
      </c>
    </row>
    <row r="35" spans="1:49" x14ac:dyDescent="0.25">
      <c r="A35" s="218" t="s">
        <v>8</v>
      </c>
      <c r="B35" s="235" t="s">
        <v>380</v>
      </c>
      <c r="C35" s="30" t="s">
        <v>393</v>
      </c>
      <c r="D35" s="233"/>
      <c r="E35" s="165"/>
      <c r="F35" s="166"/>
      <c r="G35" s="164"/>
      <c r="H35" s="165"/>
      <c r="I35" s="144"/>
      <c r="J35" s="42"/>
      <c r="K35" s="42"/>
      <c r="L35" s="58"/>
      <c r="M35" s="63"/>
      <c r="N35" s="42"/>
      <c r="O35" s="58"/>
      <c r="P35" s="63"/>
      <c r="Q35" s="43"/>
      <c r="R35" s="93"/>
      <c r="S35" s="64">
        <v>0</v>
      </c>
      <c r="T35" s="34">
        <v>0</v>
      </c>
      <c r="U35" s="56">
        <f>9*0*($S$9)*'Costo HH'!$E$6</f>
        <v>0</v>
      </c>
      <c r="V35" s="180"/>
      <c r="W35" s="180"/>
      <c r="X35" s="181"/>
      <c r="Y35" s="42">
        <v>1</v>
      </c>
      <c r="Z35" s="43">
        <v>0</v>
      </c>
      <c r="AA35" s="183">
        <f>9*0.2*($Y$10)*'Costo HH'!$E$6</f>
        <v>11306.25</v>
      </c>
      <c r="AB35" s="145"/>
      <c r="AC35" s="146"/>
      <c r="AD35" s="147"/>
      <c r="AE35" s="42">
        <v>1</v>
      </c>
      <c r="AF35" s="34">
        <v>16.2</v>
      </c>
      <c r="AG35" s="183">
        <f>9*16/12*($AE$10+AE9)*'Costo HH'!$E$6</f>
        <v>82912.5</v>
      </c>
      <c r="AH35" s="145"/>
      <c r="AI35" s="146"/>
      <c r="AJ35" s="147"/>
      <c r="AK35" s="63">
        <v>1</v>
      </c>
      <c r="AL35" s="43">
        <v>6.3000000000000007</v>
      </c>
      <c r="AM35" s="56">
        <f>AL35/9*($AK$10+$AK$9)*'Costo HH'!$E$6</f>
        <v>7650.5625000000009</v>
      </c>
      <c r="AN35" s="63">
        <v>2</v>
      </c>
      <c r="AO35" s="43">
        <v>36</v>
      </c>
      <c r="AP35" s="56">
        <f>AO35/9*($AN$10+$AN$9)*'Costo HH'!$E$6</f>
        <v>101505</v>
      </c>
      <c r="AQ35" s="191"/>
      <c r="AR35" s="191"/>
      <c r="AS35" s="191"/>
      <c r="AU35" s="64">
        <f t="shared" si="0"/>
        <v>5</v>
      </c>
      <c r="AV35" s="34">
        <f t="shared" si="1"/>
        <v>58.5</v>
      </c>
      <c r="AW35" s="49">
        <f t="shared" si="2"/>
        <v>203374.3125</v>
      </c>
    </row>
    <row r="36" spans="1:49" x14ac:dyDescent="0.25">
      <c r="A36" s="218" t="s">
        <v>8</v>
      </c>
      <c r="B36" s="235" t="s">
        <v>380</v>
      </c>
      <c r="C36" s="30" t="s">
        <v>29</v>
      </c>
      <c r="D36" s="231"/>
      <c r="E36" s="149"/>
      <c r="F36" s="162"/>
      <c r="G36" s="148"/>
      <c r="H36" s="149"/>
      <c r="I36" s="147"/>
      <c r="J36" s="38">
        <v>15</v>
      </c>
      <c r="K36" s="38">
        <f>9*3</f>
        <v>27</v>
      </c>
      <c r="L36" s="56">
        <f>9*0.14*($J$9+$J$10)*'Costo HH'!$E$4</f>
        <v>40890.937500000007</v>
      </c>
      <c r="M36" s="64">
        <v>0</v>
      </c>
      <c r="N36" s="38">
        <v>0</v>
      </c>
      <c r="O36" s="58">
        <f>9*0*($M$10)*'Costo HH'!$E$8</f>
        <v>0</v>
      </c>
      <c r="P36" s="64">
        <v>3</v>
      </c>
      <c r="Q36" s="34">
        <f>9*0.35</f>
        <v>3.15</v>
      </c>
      <c r="R36" s="183">
        <f>9*0.05*($P$9+$P$10)*'Costo HH'!$E$4</f>
        <v>2732.34375</v>
      </c>
      <c r="S36" s="64">
        <v>1</v>
      </c>
      <c r="T36" s="34">
        <f>9*1</f>
        <v>9</v>
      </c>
      <c r="U36" s="56">
        <f>9*0.2*($S$9)*'Costo HH'!$E$6</f>
        <v>678.375</v>
      </c>
      <c r="V36" s="174"/>
      <c r="W36" s="174"/>
      <c r="X36" s="175"/>
      <c r="Y36" s="38">
        <v>0</v>
      </c>
      <c r="Z36" s="34">
        <v>0</v>
      </c>
      <c r="AA36" s="183">
        <f>9*0*($Y$10)*'Costo HH'!$E$6</f>
        <v>0</v>
      </c>
      <c r="AB36" s="145"/>
      <c r="AC36" s="146"/>
      <c r="AD36" s="147"/>
      <c r="AE36" s="38">
        <v>1</v>
      </c>
      <c r="AF36" s="34">
        <v>32.4</v>
      </c>
      <c r="AG36" s="183">
        <f>9*32/12*($AE$10+AE9)*'Costo HH'!$E$6</f>
        <v>165825</v>
      </c>
      <c r="AH36" s="145"/>
      <c r="AI36" s="146"/>
      <c r="AJ36" s="147"/>
      <c r="AK36" s="64">
        <v>2</v>
      </c>
      <c r="AL36" s="34">
        <v>94.5</v>
      </c>
      <c r="AM36" s="56">
        <f>AL36/9*($AK$10+$AK$9)*'Costo HH'!$E$6</f>
        <v>114758.4375</v>
      </c>
      <c r="AN36" s="64">
        <v>1</v>
      </c>
      <c r="AO36" s="34">
        <v>9</v>
      </c>
      <c r="AP36" s="56">
        <f>AO36/9*($AN$10+$AN$9)*'Costo HH'!$E$6</f>
        <v>25376.25</v>
      </c>
      <c r="AQ36" s="191"/>
      <c r="AR36" s="191"/>
      <c r="AS36" s="191"/>
      <c r="AU36" s="64">
        <f t="shared" si="0"/>
        <v>23</v>
      </c>
      <c r="AV36" s="34">
        <f t="shared" si="1"/>
        <v>175.05</v>
      </c>
      <c r="AW36" s="49">
        <f t="shared" si="2"/>
        <v>350261.34375</v>
      </c>
    </row>
    <row r="37" spans="1:49" x14ac:dyDescent="0.25">
      <c r="A37" s="218" t="s">
        <v>8</v>
      </c>
      <c r="B37" s="235" t="s">
        <v>380</v>
      </c>
      <c r="C37" s="30" t="s">
        <v>30</v>
      </c>
      <c r="D37" s="231"/>
      <c r="E37" s="149"/>
      <c r="F37" s="162"/>
      <c r="G37" s="148"/>
      <c r="H37" s="149"/>
      <c r="I37" s="147"/>
      <c r="J37" s="38">
        <v>5</v>
      </c>
      <c r="K37" s="38">
        <f>9*1</f>
        <v>9</v>
      </c>
      <c r="L37" s="56">
        <f>9*0.07*($J$9+$J$10)*'Costo HH'!$E$4</f>
        <v>20445.468750000004</v>
      </c>
      <c r="M37" s="64">
        <v>1</v>
      </c>
      <c r="N37" s="38">
        <f>9*0.5</f>
        <v>4.5</v>
      </c>
      <c r="O37" s="58">
        <f>9*0.5*($M$10)*'Costo HH'!$E$8</f>
        <v>4899.375</v>
      </c>
      <c r="P37" s="64">
        <v>5</v>
      </c>
      <c r="Q37" s="34">
        <f>9*0.9</f>
        <v>8.1</v>
      </c>
      <c r="R37" s="183">
        <f>9*0.07*($P$9+$P$10)*'Costo HH'!$E$4</f>
        <v>3825.2812500000005</v>
      </c>
      <c r="S37" s="64">
        <v>2</v>
      </c>
      <c r="T37" s="34">
        <f>9*1.3</f>
        <v>11.700000000000001</v>
      </c>
      <c r="U37" s="56">
        <f>9*0.15*($S$9)*'Costo HH'!$E$6</f>
        <v>508.78125</v>
      </c>
      <c r="V37" s="174"/>
      <c r="W37" s="174"/>
      <c r="X37" s="175"/>
      <c r="Y37" s="38">
        <v>1</v>
      </c>
      <c r="Z37" s="34">
        <v>15.3</v>
      </c>
      <c r="AA37" s="183">
        <f>9*1.1*($Y$10)*'Costo HH'!$E$6</f>
        <v>62184.375</v>
      </c>
      <c r="AB37" s="145"/>
      <c r="AC37" s="146"/>
      <c r="AD37" s="147"/>
      <c r="AE37" s="38">
        <v>1</v>
      </c>
      <c r="AF37" s="34">
        <v>16.2</v>
      </c>
      <c r="AG37" s="183">
        <f>9*16/12*($AE$10+AE9)*'Costo HH'!$E$6</f>
        <v>82912.5</v>
      </c>
      <c r="AH37" s="145"/>
      <c r="AI37" s="146"/>
      <c r="AJ37" s="147"/>
      <c r="AK37" s="64">
        <v>1</v>
      </c>
      <c r="AL37" s="34">
        <v>12.600000000000001</v>
      </c>
      <c r="AM37" s="56">
        <f>AL37/9*($AK$10+$AK$9)*'Costo HH'!$E$6</f>
        <v>15301.125000000002</v>
      </c>
      <c r="AN37" s="64">
        <v>1</v>
      </c>
      <c r="AO37" s="34">
        <v>18</v>
      </c>
      <c r="AP37" s="56">
        <f>AO37/9*($AN$10+$AN$9)*'Costo HH'!$E$6</f>
        <v>50752.5</v>
      </c>
      <c r="AQ37" s="191"/>
      <c r="AR37" s="191"/>
      <c r="AS37" s="191"/>
      <c r="AU37" s="64">
        <f t="shared" si="0"/>
        <v>17</v>
      </c>
      <c r="AV37" s="34">
        <f t="shared" si="1"/>
        <v>95.4</v>
      </c>
      <c r="AW37" s="49">
        <f t="shared" si="2"/>
        <v>240829.40625</v>
      </c>
    </row>
    <row r="38" spans="1:49" x14ac:dyDescent="0.25">
      <c r="A38" s="218" t="s">
        <v>8</v>
      </c>
      <c r="B38" s="235" t="s">
        <v>380</v>
      </c>
      <c r="C38" s="30" t="s">
        <v>31</v>
      </c>
      <c r="D38" s="231"/>
      <c r="E38" s="149"/>
      <c r="F38" s="162"/>
      <c r="G38" s="148"/>
      <c r="H38" s="149"/>
      <c r="I38" s="147"/>
      <c r="J38" s="38">
        <v>3</v>
      </c>
      <c r="K38" s="38">
        <f>9*2</f>
        <v>18</v>
      </c>
      <c r="L38" s="56">
        <f>9*0.14*($J$9+$J$10)*'Costo HH'!$E$4</f>
        <v>40890.937500000007</v>
      </c>
      <c r="M38" s="64">
        <v>1</v>
      </c>
      <c r="N38" s="38">
        <f>9*0.2</f>
        <v>1.8</v>
      </c>
      <c r="O38" s="58">
        <f>9*0.2*($M$10)*'Costo HH'!$E$8</f>
        <v>1959.7500000000002</v>
      </c>
      <c r="P38" s="64">
        <v>1</v>
      </c>
      <c r="Q38" s="34">
        <f>9*1.2</f>
        <v>10.799999999999999</v>
      </c>
      <c r="R38" s="183">
        <f>9*0.02*($P$9+$P$10)*'Costo HH'!$E$4</f>
        <v>1092.9375</v>
      </c>
      <c r="S38" s="64">
        <v>0</v>
      </c>
      <c r="T38" s="34">
        <v>0</v>
      </c>
      <c r="U38" s="56">
        <f>9*0*($S$9)*'Costo HH'!$E$6</f>
        <v>0</v>
      </c>
      <c r="V38" s="174"/>
      <c r="W38" s="174"/>
      <c r="X38" s="175"/>
      <c r="Y38" s="38">
        <v>1</v>
      </c>
      <c r="Z38" s="34">
        <v>0</v>
      </c>
      <c r="AA38" s="183">
        <f>9*0.2*($Y$10)*'Costo HH'!$E$6</f>
        <v>11306.25</v>
      </c>
      <c r="AB38" s="145"/>
      <c r="AC38" s="146"/>
      <c r="AD38" s="147"/>
      <c r="AE38" s="38">
        <v>3</v>
      </c>
      <c r="AF38" s="34">
        <v>45</v>
      </c>
      <c r="AG38" s="183">
        <f>9*45/12*($AE$10)*'Costo HH'!$E$6+AE9</f>
        <v>190802.96875</v>
      </c>
      <c r="AH38" s="145"/>
      <c r="AI38" s="146"/>
      <c r="AJ38" s="147"/>
      <c r="AK38" s="64">
        <v>0</v>
      </c>
      <c r="AL38" s="34">
        <v>0</v>
      </c>
      <c r="AM38" s="56">
        <f>AL38/9*($AK$10+$AK$9)*'Costo HH'!$E$6</f>
        <v>0</v>
      </c>
      <c r="AN38" s="64">
        <v>0</v>
      </c>
      <c r="AO38" s="34">
        <v>0</v>
      </c>
      <c r="AP38" s="56">
        <f>AO38/9*($AN$10+$AN$9)*'Costo HH'!$E$6</f>
        <v>0</v>
      </c>
      <c r="AQ38" s="191"/>
      <c r="AR38" s="191"/>
      <c r="AS38" s="191"/>
      <c r="AU38" s="64">
        <f t="shared" si="0"/>
        <v>9</v>
      </c>
      <c r="AV38" s="34">
        <f t="shared" si="1"/>
        <v>75.599999999999994</v>
      </c>
      <c r="AW38" s="49">
        <f t="shared" si="2"/>
        <v>246052.84375</v>
      </c>
    </row>
    <row r="39" spans="1:49" x14ac:dyDescent="0.25">
      <c r="A39" s="218" t="s">
        <v>8</v>
      </c>
      <c r="B39" s="235" t="s">
        <v>380</v>
      </c>
      <c r="C39" s="30" t="s">
        <v>379</v>
      </c>
      <c r="D39" s="231"/>
      <c r="E39" s="149"/>
      <c r="F39" s="162"/>
      <c r="G39" s="148"/>
      <c r="H39" s="149"/>
      <c r="I39" s="147"/>
      <c r="J39" s="38">
        <v>1</v>
      </c>
      <c r="K39" s="38">
        <v>0</v>
      </c>
      <c r="L39" s="56">
        <f>9*0.24*($J$9+$J$10)*'Costo HH'!$E$4</f>
        <v>70098.75</v>
      </c>
      <c r="M39" s="64">
        <v>1</v>
      </c>
      <c r="N39" s="38">
        <f>9*0.5</f>
        <v>4.5</v>
      </c>
      <c r="O39" s="58">
        <f>9*0.15*($M$10)*'Costo HH'!$E$8</f>
        <v>1469.8124999999998</v>
      </c>
      <c r="P39" s="64">
        <v>1</v>
      </c>
      <c r="Q39" s="34">
        <f>9*0.2</f>
        <v>1.8</v>
      </c>
      <c r="R39" s="183">
        <f>9*0.05*($P$9+$P$10)*'Costo HH'!$E$4</f>
        <v>2732.34375</v>
      </c>
      <c r="S39" s="64">
        <v>1</v>
      </c>
      <c r="T39" s="34">
        <f>9*0.5</f>
        <v>4.5</v>
      </c>
      <c r="U39" s="56">
        <f>9*0.2*($S$9)*'Costo HH'!$E$6</f>
        <v>678.375</v>
      </c>
      <c r="V39" s="174"/>
      <c r="W39" s="174"/>
      <c r="X39" s="175"/>
      <c r="Y39" s="38">
        <v>0</v>
      </c>
      <c r="Z39" s="34">
        <v>15.3</v>
      </c>
      <c r="AA39" s="183">
        <f>9*0.4*($Y$10)*'Costo HH'!$E$6</f>
        <v>22612.5</v>
      </c>
      <c r="AB39" s="145"/>
      <c r="AC39" s="146"/>
      <c r="AD39" s="147"/>
      <c r="AE39" s="38">
        <v>1</v>
      </c>
      <c r="AF39" s="34">
        <v>64.8</v>
      </c>
      <c r="AG39" s="183">
        <f>9*65/12*($AE$10+AE9)*'Costo HH'!$E$6</f>
        <v>336832.03125</v>
      </c>
      <c r="AH39" s="145"/>
      <c r="AI39" s="146"/>
      <c r="AJ39" s="147"/>
      <c r="AK39" s="64">
        <v>1</v>
      </c>
      <c r="AL39" s="34">
        <v>50.400000000000006</v>
      </c>
      <c r="AM39" s="56">
        <f>AL39/9*($AK$10+$AK$9)*'Costo HH'!$E$6</f>
        <v>61204.500000000007</v>
      </c>
      <c r="AN39" s="64">
        <v>0</v>
      </c>
      <c r="AO39" s="34">
        <v>0</v>
      </c>
      <c r="AP39" s="56">
        <f>AO39/9*($AN$10+$AN$9)*'Costo HH'!$E$6</f>
        <v>0</v>
      </c>
      <c r="AQ39" s="191"/>
      <c r="AR39" s="191"/>
      <c r="AS39" s="191"/>
      <c r="AU39" s="64">
        <f t="shared" si="0"/>
        <v>6</v>
      </c>
      <c r="AV39" s="34">
        <f t="shared" si="1"/>
        <v>141.30000000000001</v>
      </c>
      <c r="AW39" s="49">
        <f t="shared" si="2"/>
        <v>495628.3125</v>
      </c>
    </row>
    <row r="40" spans="1:49" x14ac:dyDescent="0.25">
      <c r="A40" s="218" t="s">
        <v>8</v>
      </c>
      <c r="B40" s="235" t="s">
        <v>380</v>
      </c>
      <c r="C40" s="30" t="s">
        <v>381</v>
      </c>
      <c r="D40" s="231"/>
      <c r="E40" s="149"/>
      <c r="F40" s="162"/>
      <c r="G40" s="148"/>
      <c r="H40" s="149"/>
      <c r="I40" s="147"/>
      <c r="J40" s="38">
        <v>4</v>
      </c>
      <c r="K40" s="38">
        <f>9*1.5</f>
        <v>13.5</v>
      </c>
      <c r="L40" s="56">
        <f>9*2*($J$9+$J$10)*'Costo HH'!$E$4</f>
        <v>584156.25</v>
      </c>
      <c r="M40" s="64">
        <v>3</v>
      </c>
      <c r="N40" s="38">
        <f>9*3</f>
        <v>27</v>
      </c>
      <c r="O40" s="58">
        <f>9*2.5*($M$10)*'Costo HH'!$E$8</f>
        <v>24496.875</v>
      </c>
      <c r="P40" s="64">
        <v>6</v>
      </c>
      <c r="Q40" s="34">
        <f>9*1.6</f>
        <v>14.4</v>
      </c>
      <c r="R40" s="183">
        <f>9*1.4*($P$9+$P$10)*'Costo HH'!$E$4</f>
        <v>76505.625</v>
      </c>
      <c r="S40" s="64">
        <v>4</v>
      </c>
      <c r="T40" s="34">
        <f>9*3</f>
        <v>27</v>
      </c>
      <c r="U40" s="56">
        <f>9*0.5*($S$9)*'Costo HH'!$E$6</f>
        <v>1695.9375</v>
      </c>
      <c r="V40" s="174"/>
      <c r="W40" s="174"/>
      <c r="X40" s="175"/>
      <c r="Y40" s="38">
        <v>6</v>
      </c>
      <c r="Z40" s="34">
        <v>76.5</v>
      </c>
      <c r="AA40" s="183">
        <f>9*5/2*($Y$10)*'Costo HH'!$E$6</f>
        <v>141328.125</v>
      </c>
      <c r="AB40" s="145"/>
      <c r="AC40" s="146"/>
      <c r="AD40" s="147"/>
      <c r="AE40" s="38">
        <v>0</v>
      </c>
      <c r="AF40" s="34">
        <v>0</v>
      </c>
      <c r="AG40" s="183">
        <f>9*0*($AE$10+AE9)*'Costo HH'!$E$6</f>
        <v>0</v>
      </c>
      <c r="AH40" s="145"/>
      <c r="AI40" s="146"/>
      <c r="AJ40" s="147"/>
      <c r="AK40" s="64">
        <v>2</v>
      </c>
      <c r="AL40" s="34">
        <v>75.600000000000009</v>
      </c>
      <c r="AM40" s="56">
        <f>AL40/9*($AK$10+$AK$9)*'Costo HH'!$E$6</f>
        <v>91806.750000000015</v>
      </c>
      <c r="AN40" s="64">
        <v>2</v>
      </c>
      <c r="AO40" s="34">
        <v>117</v>
      </c>
      <c r="AP40" s="56">
        <f>AO40/9*($AN$10+$AN$9)*'Costo HH'!$E$6</f>
        <v>329891.25</v>
      </c>
      <c r="AQ40" s="191"/>
      <c r="AR40" s="191"/>
      <c r="AS40" s="191"/>
      <c r="AU40" s="64">
        <f t="shared" si="0"/>
        <v>27</v>
      </c>
      <c r="AV40" s="34">
        <f t="shared" si="1"/>
        <v>351</v>
      </c>
      <c r="AW40" s="49">
        <f t="shared" si="2"/>
        <v>1249880.8125</v>
      </c>
    </row>
    <row r="41" spans="1:49" x14ac:dyDescent="0.25">
      <c r="A41" s="218" t="s">
        <v>8</v>
      </c>
      <c r="B41" s="235" t="s">
        <v>380</v>
      </c>
      <c r="C41" s="30" t="s">
        <v>579</v>
      </c>
      <c r="D41" s="231"/>
      <c r="E41" s="149"/>
      <c r="F41" s="162"/>
      <c r="G41" s="148"/>
      <c r="H41" s="149"/>
      <c r="I41" s="147"/>
      <c r="J41" s="38">
        <v>2</v>
      </c>
      <c r="K41" s="38">
        <f>9*2</f>
        <v>18</v>
      </c>
      <c r="L41" s="56">
        <f>9*0.85*($J$9+$J$10)*'Costo HH'!$E$4</f>
        <v>248266.40625</v>
      </c>
      <c r="M41" s="64">
        <v>2</v>
      </c>
      <c r="N41" s="38">
        <f>9*1</f>
        <v>9</v>
      </c>
      <c r="O41" s="58">
        <f>9*0.35*($M$10)*'Costo HH'!$E$8</f>
        <v>3429.5624999999995</v>
      </c>
      <c r="P41" s="64">
        <v>0</v>
      </c>
      <c r="Q41" s="34">
        <v>0</v>
      </c>
      <c r="R41" s="183">
        <f>9*0.3*($P$9+$P$10)*'Costo HH'!$E$4</f>
        <v>16394.0625</v>
      </c>
      <c r="S41" s="186">
        <v>0</v>
      </c>
      <c r="T41" s="34">
        <f>9*0</f>
        <v>0</v>
      </c>
      <c r="U41" s="56">
        <f>9*0*($S$9)*'Costo HH'!$E$6</f>
        <v>0</v>
      </c>
      <c r="V41" s="174"/>
      <c r="W41" s="174"/>
      <c r="X41" s="175"/>
      <c r="Y41" s="38">
        <v>2</v>
      </c>
      <c r="Z41" s="34">
        <v>0</v>
      </c>
      <c r="AA41" s="183">
        <f>9*0.1*($Y$10)*'Costo HH'!$E$6</f>
        <v>5653.125</v>
      </c>
      <c r="AB41" s="145"/>
      <c r="AC41" s="146"/>
      <c r="AD41" s="147"/>
      <c r="AE41" s="38">
        <v>1</v>
      </c>
      <c r="AF41" s="34">
        <v>16.2</v>
      </c>
      <c r="AG41" s="183">
        <f>9*16/12*($AE$10+AE9)*'Costo HH'!$E$6</f>
        <v>82912.5</v>
      </c>
      <c r="AH41" s="145"/>
      <c r="AI41" s="146"/>
      <c r="AJ41" s="147"/>
      <c r="AK41" s="64">
        <v>1</v>
      </c>
      <c r="AL41" s="34">
        <v>12.600000000000001</v>
      </c>
      <c r="AM41" s="56">
        <f>AL41/9*($AK$10+$AK$9)*'Costo HH'!$E$6</f>
        <v>15301.125000000002</v>
      </c>
      <c r="AN41" s="64">
        <v>1</v>
      </c>
      <c r="AO41" s="34">
        <v>18</v>
      </c>
      <c r="AP41" s="56">
        <f>AO41/9*($AN$10+$AN$9)*'Costo HH'!$E$6</f>
        <v>50752.5</v>
      </c>
      <c r="AQ41" s="191"/>
      <c r="AR41" s="191"/>
      <c r="AS41" s="191"/>
      <c r="AU41" s="64">
        <f t="shared" si="0"/>
        <v>9</v>
      </c>
      <c r="AV41" s="34">
        <f t="shared" si="1"/>
        <v>73.800000000000011</v>
      </c>
      <c r="AW41" s="49">
        <f t="shared" si="2"/>
        <v>422709.28125</v>
      </c>
    </row>
    <row r="42" spans="1:49" x14ac:dyDescent="0.25">
      <c r="A42" s="218" t="s">
        <v>8</v>
      </c>
      <c r="B42" s="235" t="s">
        <v>28</v>
      </c>
      <c r="C42" s="30" t="s">
        <v>32</v>
      </c>
      <c r="D42" s="231"/>
      <c r="E42" s="149"/>
      <c r="F42" s="162"/>
      <c r="G42" s="148"/>
      <c r="H42" s="149"/>
      <c r="I42" s="147"/>
      <c r="J42" s="38">
        <v>5</v>
      </c>
      <c r="K42" s="38">
        <f>9*1.5</f>
        <v>13.5</v>
      </c>
      <c r="L42" s="56">
        <f>9*1.65*($J$9+$J$10)*'Costo HH'!$E$4</f>
        <v>481928.90625</v>
      </c>
      <c r="M42" s="64">
        <v>0</v>
      </c>
      <c r="N42" s="38">
        <v>0</v>
      </c>
      <c r="O42" s="58">
        <f>9*0*($M$10)*'Costo HH'!$E$8</f>
        <v>0</v>
      </c>
      <c r="P42" s="64">
        <v>0</v>
      </c>
      <c r="Q42" s="34">
        <v>0</v>
      </c>
      <c r="R42" s="183">
        <f>9*0*($P$9+$P$10)*'Costo HH'!$E$4</f>
        <v>0</v>
      </c>
      <c r="S42" s="64">
        <v>0</v>
      </c>
      <c r="T42" s="34">
        <f>9*0</f>
        <v>0</v>
      </c>
      <c r="U42" s="56">
        <f>9*0*($S$9)*'Costo HH'!$E$6</f>
        <v>0</v>
      </c>
      <c r="V42" s="174"/>
      <c r="W42" s="174"/>
      <c r="X42" s="175"/>
      <c r="Y42" s="38">
        <v>2</v>
      </c>
      <c r="Z42" s="34">
        <v>107.10000000000001</v>
      </c>
      <c r="AA42" s="183">
        <f>9*7/2*($Y$10)*'Costo HH'!$E$6</f>
        <v>197859.375</v>
      </c>
      <c r="AB42" s="145"/>
      <c r="AC42" s="146"/>
      <c r="AD42" s="147"/>
      <c r="AE42" s="38">
        <v>1</v>
      </c>
      <c r="AF42" s="34">
        <v>20</v>
      </c>
      <c r="AG42" s="183">
        <f>9*20/12*($AE$10+AE9)*'Costo HH'!$E$6</f>
        <v>103640.625</v>
      </c>
      <c r="AH42" s="145"/>
      <c r="AI42" s="146"/>
      <c r="AJ42" s="147"/>
      <c r="AK42" s="64">
        <v>0</v>
      </c>
      <c r="AL42" s="34">
        <v>0</v>
      </c>
      <c r="AM42" s="56">
        <f>AL42/9*($AK$10+$AK$9)*'Costo HH'!$E$6</f>
        <v>0</v>
      </c>
      <c r="AN42" s="64">
        <v>1</v>
      </c>
      <c r="AO42" s="34">
        <v>18</v>
      </c>
      <c r="AP42" s="56">
        <f>AO42/9*($AN$10+$AN$9)*'Costo HH'!$E$6</f>
        <v>50752.5</v>
      </c>
      <c r="AQ42" s="191"/>
      <c r="AR42" s="191"/>
      <c r="AS42" s="191"/>
      <c r="AU42" s="64">
        <f t="shared" si="0"/>
        <v>9</v>
      </c>
      <c r="AV42" s="34">
        <f t="shared" si="1"/>
        <v>158.60000000000002</v>
      </c>
      <c r="AW42" s="49">
        <f t="shared" si="2"/>
        <v>834181.40625</v>
      </c>
    </row>
    <row r="43" spans="1:49" x14ac:dyDescent="0.25">
      <c r="A43" s="218" t="s">
        <v>8</v>
      </c>
      <c r="B43" s="235" t="s">
        <v>28</v>
      </c>
      <c r="C43" s="30" t="s">
        <v>567</v>
      </c>
      <c r="D43" s="231"/>
      <c r="E43" s="149"/>
      <c r="F43" s="162"/>
      <c r="G43" s="148"/>
      <c r="H43" s="149"/>
      <c r="I43" s="147"/>
      <c r="J43" s="38">
        <v>15</v>
      </c>
      <c r="K43" s="38">
        <f>9*5</f>
        <v>45</v>
      </c>
      <c r="L43" s="56">
        <f>9*1.25*($J$9+$J$10)*'Costo HH'!$E$4</f>
        <v>365097.65625</v>
      </c>
      <c r="M43" s="64">
        <v>1</v>
      </c>
      <c r="N43" s="38">
        <f>9*2</f>
        <v>18</v>
      </c>
      <c r="O43" s="58">
        <f>9*1*($M$10)*'Costo HH'!$E$8</f>
        <v>9798.75</v>
      </c>
      <c r="P43" s="64">
        <v>8</v>
      </c>
      <c r="Q43" s="34">
        <f>9*4.5</f>
        <v>40.5</v>
      </c>
      <c r="R43" s="183">
        <f>9*2.2*($P$9+$P$10)*'Costo HH'!$E$4</f>
        <v>120223.12500000001</v>
      </c>
      <c r="S43" s="64">
        <v>4</v>
      </c>
      <c r="T43" s="34">
        <f>9*3.5</f>
        <v>31.5</v>
      </c>
      <c r="U43" s="56">
        <f>9*1*($S$9)*'Costo HH'!$E$6</f>
        <v>3391.875</v>
      </c>
      <c r="V43" s="174"/>
      <c r="W43" s="174"/>
      <c r="X43" s="175"/>
      <c r="Y43" s="38">
        <v>5</v>
      </c>
      <c r="Z43" s="34">
        <v>45.9</v>
      </c>
      <c r="AA43" s="183">
        <f>9*3/2*($Y$10)*'Costo HH'!$E$6</f>
        <v>84796.875</v>
      </c>
      <c r="AB43" s="145"/>
      <c r="AC43" s="146"/>
      <c r="AD43" s="147"/>
      <c r="AE43" s="38">
        <v>2</v>
      </c>
      <c r="AF43" s="34">
        <v>48.6</v>
      </c>
      <c r="AG43" s="183">
        <f>9*49/12*($AE$10+AE9)*'Costo HH'!$E$6</f>
        <v>253919.53125</v>
      </c>
      <c r="AH43" s="145"/>
      <c r="AI43" s="146"/>
      <c r="AJ43" s="147"/>
      <c r="AK43" s="64">
        <v>0</v>
      </c>
      <c r="AL43" s="34">
        <v>0</v>
      </c>
      <c r="AM43" s="56">
        <f>AL43/9*($AK$10+$AK$9)*'Costo HH'!$E$6</f>
        <v>0</v>
      </c>
      <c r="AN43" s="64">
        <v>2</v>
      </c>
      <c r="AO43" s="34">
        <v>36</v>
      </c>
      <c r="AP43" s="56">
        <f>AO43/9*($AN$10+$AN$9)*'Costo HH'!$E$6</f>
        <v>101505</v>
      </c>
      <c r="AQ43" s="191"/>
      <c r="AR43" s="191"/>
      <c r="AS43" s="191"/>
      <c r="AU43" s="64">
        <f t="shared" si="0"/>
        <v>37</v>
      </c>
      <c r="AV43" s="34">
        <f t="shared" si="1"/>
        <v>265.5</v>
      </c>
      <c r="AW43" s="49">
        <f t="shared" si="2"/>
        <v>938732.8125</v>
      </c>
    </row>
    <row r="44" spans="1:49" x14ac:dyDescent="0.25">
      <c r="A44" s="218" t="s">
        <v>8</v>
      </c>
      <c r="B44" s="235" t="s">
        <v>28</v>
      </c>
      <c r="C44" s="30" t="s">
        <v>33</v>
      </c>
      <c r="D44" s="231"/>
      <c r="E44" s="149"/>
      <c r="F44" s="162"/>
      <c r="G44" s="148"/>
      <c r="H44" s="149"/>
      <c r="I44" s="147"/>
      <c r="J44" s="38">
        <v>2</v>
      </c>
      <c r="K44" s="38">
        <v>0</v>
      </c>
      <c r="L44" s="56">
        <f>9*0.23*($J$9+$J$10)*'Costo HH'!$E$4</f>
        <v>67177.96875</v>
      </c>
      <c r="M44" s="64">
        <v>1</v>
      </c>
      <c r="N44" s="38">
        <f>9*0.2</f>
        <v>1.8</v>
      </c>
      <c r="O44" s="58">
        <f>9*0.15*($M$10)*'Costo HH'!$E$8</f>
        <v>1469.8124999999998</v>
      </c>
      <c r="P44" s="64">
        <v>2</v>
      </c>
      <c r="Q44" s="34">
        <f>9*0.34</f>
        <v>3.06</v>
      </c>
      <c r="R44" s="183">
        <f>9*2.2*($P$9+$P$10)*'Costo HH'!$E$4</f>
        <v>120223.12500000001</v>
      </c>
      <c r="S44" s="64">
        <v>1</v>
      </c>
      <c r="T44" s="34">
        <f>9*1.5</f>
        <v>13.5</v>
      </c>
      <c r="U44" s="56">
        <f>9*1.2*($S$9)*'Costo HH'!$E$6</f>
        <v>4070.25</v>
      </c>
      <c r="V44" s="174"/>
      <c r="W44" s="174"/>
      <c r="X44" s="175"/>
      <c r="Y44" s="38">
        <v>4</v>
      </c>
      <c r="Z44" s="34">
        <v>30.6</v>
      </c>
      <c r="AA44" s="183">
        <f>9*1*($Y$10)*'Costo HH'!$E$6</f>
        <v>56531.25</v>
      </c>
      <c r="AB44" s="145"/>
      <c r="AC44" s="146"/>
      <c r="AD44" s="147"/>
      <c r="AE44" s="38">
        <v>2</v>
      </c>
      <c r="AF44" s="34">
        <v>32.4</v>
      </c>
      <c r="AG44" s="183">
        <f>9*32/12*($AE$10+AE9)*'Costo HH'!$E$6</f>
        <v>165825</v>
      </c>
      <c r="AH44" s="145"/>
      <c r="AI44" s="146"/>
      <c r="AJ44" s="147"/>
      <c r="AK44" s="64">
        <v>0</v>
      </c>
      <c r="AL44" s="34">
        <v>0</v>
      </c>
      <c r="AM44" s="56">
        <f>AL44/9*($AK$10+$AK$9)*'Costo HH'!$E$6</f>
        <v>0</v>
      </c>
      <c r="AN44" s="64">
        <v>1</v>
      </c>
      <c r="AO44" s="34">
        <v>18</v>
      </c>
      <c r="AP44" s="56">
        <f>AO44/9*($AN$10+$AN$9)*'Costo HH'!$E$6</f>
        <v>50752.5</v>
      </c>
      <c r="AQ44" s="191"/>
      <c r="AR44" s="191"/>
      <c r="AS44" s="191"/>
      <c r="AU44" s="64">
        <f t="shared" si="0"/>
        <v>13</v>
      </c>
      <c r="AV44" s="34">
        <f t="shared" si="1"/>
        <v>99.36</v>
      </c>
      <c r="AW44" s="49">
        <f t="shared" si="2"/>
        <v>466049.90625</v>
      </c>
    </row>
    <row r="45" spans="1:49" x14ac:dyDescent="0.25">
      <c r="A45" s="218" t="s">
        <v>8</v>
      </c>
      <c r="B45" s="235" t="s">
        <v>28</v>
      </c>
      <c r="C45" s="30" t="s">
        <v>34</v>
      </c>
      <c r="D45" s="231"/>
      <c r="E45" s="149"/>
      <c r="F45" s="162"/>
      <c r="G45" s="148"/>
      <c r="H45" s="149"/>
      <c r="I45" s="147"/>
      <c r="J45" s="38">
        <v>10</v>
      </c>
      <c r="K45" s="38">
        <f>9*0.2</f>
        <v>1.8</v>
      </c>
      <c r="L45" s="56">
        <f>9*1.66*($J$9+$J$10)*'Costo HH'!$E$4</f>
        <v>484849.68749999994</v>
      </c>
      <c r="M45" s="64">
        <v>2</v>
      </c>
      <c r="N45" s="38">
        <f>9*0.2</f>
        <v>1.8</v>
      </c>
      <c r="O45" s="58">
        <f>9*0.47*($M$10)*'Costo HH'!$E$8</f>
        <v>4605.4124999999995</v>
      </c>
      <c r="P45" s="64">
        <v>10</v>
      </c>
      <c r="Q45" s="34">
        <f>9*5.7</f>
        <v>51.300000000000004</v>
      </c>
      <c r="R45" s="183">
        <f>9*2.2*($P$9+$P$10)*'Costo HH'!$E$4</f>
        <v>120223.12500000001</v>
      </c>
      <c r="S45" s="64">
        <v>1</v>
      </c>
      <c r="T45" s="34">
        <f>9*0.9</f>
        <v>8.1</v>
      </c>
      <c r="U45" s="56">
        <f>9*1.2*($S$9)*'Costo HH'!$E$6</f>
        <v>4070.25</v>
      </c>
      <c r="V45" s="174"/>
      <c r="W45" s="174"/>
      <c r="X45" s="175"/>
      <c r="Y45" s="38">
        <v>3</v>
      </c>
      <c r="Z45" s="34">
        <v>45.9</v>
      </c>
      <c r="AA45" s="183">
        <f>9*3/2*($Y$10)*'Costo HH'!$E$6</f>
        <v>84796.875</v>
      </c>
      <c r="AB45" s="145"/>
      <c r="AC45" s="146"/>
      <c r="AD45" s="147"/>
      <c r="AE45" s="38">
        <v>1</v>
      </c>
      <c r="AF45" s="34">
        <v>16.2</v>
      </c>
      <c r="AG45" s="183">
        <f>9*16/12*($AE$10+AE9)*'Costo HH'!$E$6</f>
        <v>82912.5</v>
      </c>
      <c r="AH45" s="145"/>
      <c r="AI45" s="146"/>
      <c r="AJ45" s="147"/>
      <c r="AK45" s="64">
        <v>1</v>
      </c>
      <c r="AL45" s="34">
        <v>50.400000000000006</v>
      </c>
      <c r="AM45" s="56">
        <f>AL45/9*($AK$10+$AK$9)*'Costo HH'!$E$6</f>
        <v>61204.500000000007</v>
      </c>
      <c r="AN45" s="64">
        <v>2</v>
      </c>
      <c r="AO45" s="34">
        <v>45</v>
      </c>
      <c r="AP45" s="56">
        <f>AO45/9*($AN$10+$AN$9)*'Costo HH'!$E$6</f>
        <v>126881.25</v>
      </c>
      <c r="AQ45" s="191"/>
      <c r="AR45" s="191"/>
      <c r="AS45" s="191"/>
      <c r="AU45" s="64">
        <f t="shared" si="0"/>
        <v>30</v>
      </c>
      <c r="AV45" s="34">
        <f t="shared" si="1"/>
        <v>220.5</v>
      </c>
      <c r="AW45" s="49">
        <f t="shared" si="2"/>
        <v>969543.6</v>
      </c>
    </row>
    <row r="46" spans="1:49" x14ac:dyDescent="0.25">
      <c r="A46" s="218" t="s">
        <v>8</v>
      </c>
      <c r="B46" s="235" t="s">
        <v>28</v>
      </c>
      <c r="C46" s="30" t="s">
        <v>35</v>
      </c>
      <c r="D46" s="231"/>
      <c r="E46" s="149"/>
      <c r="F46" s="162"/>
      <c r="G46" s="148"/>
      <c r="H46" s="149"/>
      <c r="I46" s="147"/>
      <c r="J46" s="38">
        <v>5</v>
      </c>
      <c r="K46" s="38">
        <f>9*0.5</f>
        <v>4.5</v>
      </c>
      <c r="L46" s="56">
        <f>9*1.2*($J$9+$J$10)*'Costo HH'!$E$4</f>
        <v>350493.74999999994</v>
      </c>
      <c r="M46" s="64">
        <v>1</v>
      </c>
      <c r="N46" s="38">
        <f>9*1.5</f>
        <v>13.5</v>
      </c>
      <c r="O46" s="58">
        <f>9*1.6*($M$10)*'Costo HH'!$E$8</f>
        <v>15678.000000000002</v>
      </c>
      <c r="P46" s="64">
        <v>5</v>
      </c>
      <c r="Q46" s="34">
        <f>9*2.5</f>
        <v>22.5</v>
      </c>
      <c r="R46" s="183">
        <f>9*0.75*($P$9+$P$10)*'Costo HH'!$E$4</f>
        <v>40985.15625</v>
      </c>
      <c r="S46" s="64">
        <v>2</v>
      </c>
      <c r="T46" s="34">
        <f>9*0.5</f>
        <v>4.5</v>
      </c>
      <c r="U46" s="56">
        <f>9*0.5*($S$9)*'Costo HH'!$E$6</f>
        <v>1695.9375</v>
      </c>
      <c r="V46" s="174"/>
      <c r="W46" s="174"/>
      <c r="X46" s="175"/>
      <c r="Y46" s="38">
        <v>5</v>
      </c>
      <c r="Z46" s="34">
        <v>91.8</v>
      </c>
      <c r="AA46" s="183">
        <f>9*7/2*($Y$10)*'Costo HH'!$E$6</f>
        <v>197859.375</v>
      </c>
      <c r="AB46" s="145"/>
      <c r="AC46" s="146"/>
      <c r="AD46" s="147"/>
      <c r="AE46" s="38">
        <v>4</v>
      </c>
      <c r="AF46" s="34">
        <v>48.6</v>
      </c>
      <c r="AG46" s="183">
        <f>9*49/12*($AE$10+AE9)*'Costo HH'!$E$6</f>
        <v>253919.53125</v>
      </c>
      <c r="AH46" s="145"/>
      <c r="AI46" s="146"/>
      <c r="AJ46" s="147"/>
      <c r="AK46" s="64">
        <v>2</v>
      </c>
      <c r="AL46" s="34">
        <v>12.600000000000001</v>
      </c>
      <c r="AM46" s="56">
        <f>AL46/9*($AK$10+$AK$9)*'Costo HH'!$E$6</f>
        <v>15301.125000000002</v>
      </c>
      <c r="AN46" s="64">
        <v>2</v>
      </c>
      <c r="AO46" s="34">
        <v>27</v>
      </c>
      <c r="AP46" s="56">
        <f>AO46/9*($AN$10+$AN$9)*'Costo HH'!$E$6</f>
        <v>76128.75</v>
      </c>
      <c r="AQ46" s="191"/>
      <c r="AR46" s="191"/>
      <c r="AS46" s="191"/>
      <c r="AU46" s="64">
        <f t="shared" si="0"/>
        <v>26</v>
      </c>
      <c r="AV46" s="34">
        <f t="shared" si="1"/>
        <v>225</v>
      </c>
      <c r="AW46" s="49">
        <f t="shared" si="2"/>
        <v>952061.625</v>
      </c>
    </row>
    <row r="47" spans="1:49" x14ac:dyDescent="0.25">
      <c r="A47" s="218" t="s">
        <v>8</v>
      </c>
      <c r="B47" s="235" t="s">
        <v>28</v>
      </c>
      <c r="C47" s="30" t="s">
        <v>36</v>
      </c>
      <c r="D47" s="231"/>
      <c r="E47" s="149"/>
      <c r="F47" s="162"/>
      <c r="G47" s="148"/>
      <c r="H47" s="149"/>
      <c r="I47" s="147"/>
      <c r="J47" s="38">
        <v>10</v>
      </c>
      <c r="K47" s="38">
        <f>9*0.1</f>
        <v>0.9</v>
      </c>
      <c r="L47" s="56">
        <f>9*0.2*($J$9+$J$10)*'Costo HH'!$E$4</f>
        <v>58415.625</v>
      </c>
      <c r="M47" s="64">
        <v>3</v>
      </c>
      <c r="N47" s="38">
        <f>9*0.8</f>
        <v>7.2</v>
      </c>
      <c r="O47" s="58">
        <f>9*1.35*($M$10)*'Costo HH'!$E$8</f>
        <v>13228.312500000002</v>
      </c>
      <c r="P47" s="64">
        <v>12</v>
      </c>
      <c r="Q47" s="34">
        <f>9*3.5</f>
        <v>31.5</v>
      </c>
      <c r="R47" s="183">
        <f>9*1.2*($P$9+$P$10)*'Costo HH'!$E$4</f>
        <v>65576.25</v>
      </c>
      <c r="S47" s="64">
        <v>1</v>
      </c>
      <c r="T47" s="34">
        <f>9*0.4</f>
        <v>3.6</v>
      </c>
      <c r="U47" s="56">
        <f>9*0.1*($S$9)*'Costo HH'!$E$6</f>
        <v>339.1875</v>
      </c>
      <c r="V47" s="174"/>
      <c r="W47" s="174"/>
      <c r="X47" s="175"/>
      <c r="Y47" s="38">
        <v>3</v>
      </c>
      <c r="Z47" s="34">
        <v>45.9</v>
      </c>
      <c r="AA47" s="183">
        <f>9*4/2*($Y$10)*'Costo HH'!$E$6</f>
        <v>113062.5</v>
      </c>
      <c r="AB47" s="145"/>
      <c r="AC47" s="146"/>
      <c r="AD47" s="147"/>
      <c r="AE47" s="38">
        <v>1</v>
      </c>
      <c r="AF47" s="34">
        <v>16.2</v>
      </c>
      <c r="AG47" s="183">
        <f>9*16/12*($AE$10+AE9)*'Costo HH'!$E$6</f>
        <v>82912.5</v>
      </c>
      <c r="AH47" s="145"/>
      <c r="AI47" s="146"/>
      <c r="AJ47" s="147"/>
      <c r="AK47" s="64">
        <v>1</v>
      </c>
      <c r="AL47" s="34">
        <v>50.400000000000006</v>
      </c>
      <c r="AM47" s="56">
        <f>AL47/9*($AK$10+$AK$9)*'Costo HH'!$E$6</f>
        <v>61204.500000000007</v>
      </c>
      <c r="AN47" s="64">
        <v>0</v>
      </c>
      <c r="AO47" s="34">
        <v>0</v>
      </c>
      <c r="AP47" s="56">
        <f>AO47/9*($AN$10+$AN$9)*'Costo HH'!$E$6</f>
        <v>0</v>
      </c>
      <c r="AQ47" s="191"/>
      <c r="AR47" s="191"/>
      <c r="AS47" s="191"/>
      <c r="AU47" s="64">
        <f t="shared" si="0"/>
        <v>31</v>
      </c>
      <c r="AV47" s="34">
        <f t="shared" si="1"/>
        <v>155.69999999999999</v>
      </c>
      <c r="AW47" s="49">
        <f t="shared" si="2"/>
        <v>394738.875</v>
      </c>
    </row>
    <row r="48" spans="1:49" x14ac:dyDescent="0.25">
      <c r="A48" s="218" t="s">
        <v>8</v>
      </c>
      <c r="B48" s="235" t="s">
        <v>28</v>
      </c>
      <c r="C48" s="30" t="s">
        <v>37</v>
      </c>
      <c r="D48" s="231"/>
      <c r="E48" s="149"/>
      <c r="F48" s="162"/>
      <c r="G48" s="148"/>
      <c r="H48" s="149"/>
      <c r="I48" s="147"/>
      <c r="J48" s="38">
        <v>2</v>
      </c>
      <c r="K48" s="38">
        <v>0</v>
      </c>
      <c r="L48" s="56">
        <f>9*0.17*($J$9+$J$10)*'Costo HH'!$E$4</f>
        <v>49653.28125</v>
      </c>
      <c r="M48" s="64">
        <v>2</v>
      </c>
      <c r="N48" s="38">
        <f>9*1.4</f>
        <v>12.6</v>
      </c>
      <c r="O48" s="58">
        <f>9*0.35*($M$10)*'Costo HH'!$E$8</f>
        <v>3429.5624999999995</v>
      </c>
      <c r="P48" s="64">
        <v>3</v>
      </c>
      <c r="Q48" s="34">
        <f>9*2.5</f>
        <v>22.5</v>
      </c>
      <c r="R48" s="183">
        <f>9*0.2*($P$9+$P$10)*'Costo HH'!$E$4</f>
        <v>10929.375</v>
      </c>
      <c r="S48" s="64">
        <v>4</v>
      </c>
      <c r="T48" s="34">
        <f>9*0.7</f>
        <v>6.3</v>
      </c>
      <c r="U48" s="56">
        <f>9*0.5*($S$9)*'Costo HH'!$E$6</f>
        <v>1695.9375</v>
      </c>
      <c r="V48" s="174"/>
      <c r="W48" s="174"/>
      <c r="X48" s="175"/>
      <c r="Y48" s="38">
        <v>2</v>
      </c>
      <c r="Z48" s="34">
        <v>30.6</v>
      </c>
      <c r="AA48" s="183">
        <f>9*1*($Y$10)*'Costo HH'!$E$6</f>
        <v>56531.25</v>
      </c>
      <c r="AB48" s="145"/>
      <c r="AC48" s="146"/>
      <c r="AD48" s="147"/>
      <c r="AE48" s="38">
        <v>2</v>
      </c>
      <c r="AF48" s="34">
        <v>16.2</v>
      </c>
      <c r="AG48" s="183">
        <f>9*16/12*($AE$10+AE9)*'Costo HH'!$E$6</f>
        <v>82912.5</v>
      </c>
      <c r="AH48" s="145"/>
      <c r="AI48" s="146"/>
      <c r="AJ48" s="147"/>
      <c r="AK48" s="64">
        <v>0</v>
      </c>
      <c r="AL48" s="34">
        <v>0</v>
      </c>
      <c r="AM48" s="56">
        <f>AL48/9*($AK$10+$AK$9)*'Costo HH'!$E$6</f>
        <v>0</v>
      </c>
      <c r="AN48" s="64">
        <v>1</v>
      </c>
      <c r="AO48" s="34">
        <v>27</v>
      </c>
      <c r="AP48" s="56">
        <f>AO48/9*($AN$10+$AN$9)*'Costo HH'!$E$6</f>
        <v>76128.75</v>
      </c>
      <c r="AQ48" s="191"/>
      <c r="AR48" s="191"/>
      <c r="AS48" s="191"/>
      <c r="AU48" s="64">
        <f t="shared" si="0"/>
        <v>16</v>
      </c>
      <c r="AV48" s="34">
        <f t="shared" si="1"/>
        <v>115.2</v>
      </c>
      <c r="AW48" s="49">
        <f t="shared" si="2"/>
        <v>281280.65625</v>
      </c>
    </row>
    <row r="49" spans="1:49" x14ac:dyDescent="0.25">
      <c r="A49" s="218" t="s">
        <v>8</v>
      </c>
      <c r="B49" s="235" t="s">
        <v>28</v>
      </c>
      <c r="C49" s="30" t="s">
        <v>599</v>
      </c>
      <c r="D49" s="231"/>
      <c r="E49" s="149"/>
      <c r="F49" s="162"/>
      <c r="G49" s="148"/>
      <c r="H49" s="149"/>
      <c r="I49" s="147"/>
      <c r="J49" s="38">
        <v>15</v>
      </c>
      <c r="K49" s="38">
        <f>9*0.13</f>
        <v>1.17</v>
      </c>
      <c r="L49" s="56">
        <f>9*0.12*($J$9+$J$10)*'Costo HH'!$E$4</f>
        <v>35049.375</v>
      </c>
      <c r="M49" s="64">
        <v>2</v>
      </c>
      <c r="N49" s="38">
        <f>9*0.2</f>
        <v>1.8</v>
      </c>
      <c r="O49" s="58">
        <f>9*0.2*($M$10)*'Costo HH'!$E$8</f>
        <v>1959.7500000000002</v>
      </c>
      <c r="P49" s="64">
        <v>5</v>
      </c>
      <c r="Q49" s="34">
        <f>9*2.9</f>
        <v>26.099999999999998</v>
      </c>
      <c r="R49" s="183">
        <f>9*0.1*($P$9+$P$10)*'Costo HH'!$E$4</f>
        <v>5464.6875</v>
      </c>
      <c r="S49" s="64">
        <v>2</v>
      </c>
      <c r="T49" s="34">
        <f>9*0.67</f>
        <v>6.03</v>
      </c>
      <c r="U49" s="56">
        <f>9*0.3*($S$9)*'Costo HH'!$E$6</f>
        <v>1017.5625</v>
      </c>
      <c r="V49" s="174"/>
      <c r="W49" s="174"/>
      <c r="X49" s="175"/>
      <c r="Y49" s="38">
        <v>4</v>
      </c>
      <c r="Z49" s="34">
        <v>15.3</v>
      </c>
      <c r="AA49" s="183">
        <f>9*1/2*($Y$10)*'Costo HH'!$E$6</f>
        <v>28265.625</v>
      </c>
      <c r="AB49" s="145"/>
      <c r="AC49" s="146"/>
      <c r="AD49" s="147"/>
      <c r="AE49" s="38">
        <v>1</v>
      </c>
      <c r="AF49" s="34">
        <v>16.2</v>
      </c>
      <c r="AG49" s="183">
        <f>9*16/12*($AE$10+AE9)*'Costo HH'!$E$6</f>
        <v>82912.5</v>
      </c>
      <c r="AH49" s="145"/>
      <c r="AI49" s="146"/>
      <c r="AJ49" s="147"/>
      <c r="AK49" s="64">
        <v>0</v>
      </c>
      <c r="AL49" s="34">
        <v>0</v>
      </c>
      <c r="AM49" s="56">
        <f>AL49/9*($AK$10+$AK$9)*'Costo HH'!$E$6</f>
        <v>0</v>
      </c>
      <c r="AN49" s="64">
        <v>1</v>
      </c>
      <c r="AO49" s="34">
        <v>18</v>
      </c>
      <c r="AP49" s="56">
        <f>AO49/9*($AN$10+$AN$9)*'Costo HH'!$E$6</f>
        <v>50752.5</v>
      </c>
      <c r="AQ49" s="191"/>
      <c r="AR49" s="191"/>
      <c r="AS49" s="191"/>
      <c r="AU49" s="64">
        <f t="shared" si="0"/>
        <v>30</v>
      </c>
      <c r="AV49" s="34">
        <f t="shared" si="1"/>
        <v>84.6</v>
      </c>
      <c r="AW49" s="49">
        <f t="shared" si="2"/>
        <v>205422</v>
      </c>
    </row>
    <row r="50" spans="1:49" x14ac:dyDescent="0.25">
      <c r="A50" s="218" t="s">
        <v>8</v>
      </c>
      <c r="B50" s="235" t="s">
        <v>28</v>
      </c>
      <c r="C50" s="30" t="s">
        <v>38</v>
      </c>
      <c r="D50" s="231"/>
      <c r="E50" s="149"/>
      <c r="F50" s="162"/>
      <c r="G50" s="148"/>
      <c r="H50" s="149"/>
      <c r="I50" s="147"/>
      <c r="J50" s="38">
        <v>5</v>
      </c>
      <c r="K50" s="38">
        <f>9*2</f>
        <v>18</v>
      </c>
      <c r="L50" s="56">
        <f>9*1.05*($J$9+$J$10)*'Costo HH'!$E$4</f>
        <v>306682.03125000006</v>
      </c>
      <c r="M50" s="64">
        <v>1</v>
      </c>
      <c r="N50" s="38">
        <f>9*0.3</f>
        <v>2.6999999999999997</v>
      </c>
      <c r="O50" s="58">
        <f>9*0.12*($M$10)*'Costo HH'!$E$8</f>
        <v>1175.8500000000001</v>
      </c>
      <c r="P50" s="64">
        <v>4</v>
      </c>
      <c r="Q50" s="34">
        <f>9*1.5</f>
        <v>13.5</v>
      </c>
      <c r="R50" s="183">
        <f>9*0.15*($P$9+$P$10)*'Costo HH'!$E$4</f>
        <v>8197.03125</v>
      </c>
      <c r="S50" s="64">
        <v>1</v>
      </c>
      <c r="T50" s="34">
        <f>9*0.34</f>
        <v>3.06</v>
      </c>
      <c r="U50" s="56">
        <f>9*0.05*($S$9)*'Costo HH'!$E$6</f>
        <v>169.59375</v>
      </c>
      <c r="V50" s="174"/>
      <c r="W50" s="174"/>
      <c r="X50" s="175"/>
      <c r="Y50" s="38">
        <v>5</v>
      </c>
      <c r="Z50" s="34">
        <v>45.9</v>
      </c>
      <c r="AA50" s="183">
        <f>9*3/2*($Y$10)*'Costo HH'!$E$6</f>
        <v>84796.875</v>
      </c>
      <c r="AB50" s="145"/>
      <c r="AC50" s="146"/>
      <c r="AD50" s="147"/>
      <c r="AE50" s="38">
        <v>2</v>
      </c>
      <c r="AF50" s="34">
        <v>48.6</v>
      </c>
      <c r="AG50" s="183">
        <f>9*49/2*($AE$10+$AE$9)*'Costo HH'!$E$6</f>
        <v>1523517.1875</v>
      </c>
      <c r="AH50" s="145"/>
      <c r="AI50" s="146"/>
      <c r="AJ50" s="147"/>
      <c r="AK50" s="64">
        <v>0</v>
      </c>
      <c r="AL50" s="34">
        <v>0</v>
      </c>
      <c r="AM50" s="56">
        <f>AL50/9*($AK$10+$AK$9)*'Costo HH'!$E$6</f>
        <v>0</v>
      </c>
      <c r="AN50" s="64">
        <v>2</v>
      </c>
      <c r="AO50" s="34">
        <v>27</v>
      </c>
      <c r="AP50" s="56">
        <f>AO50/9*($AN$10+$AN$9)*'Costo HH'!$E$6</f>
        <v>76128.75</v>
      </c>
      <c r="AQ50" s="191"/>
      <c r="AR50" s="191"/>
      <c r="AS50" s="191"/>
      <c r="AU50" s="64">
        <f t="shared" si="0"/>
        <v>20</v>
      </c>
      <c r="AV50" s="34">
        <f t="shared" si="1"/>
        <v>158.76</v>
      </c>
      <c r="AW50" s="49">
        <f t="shared" si="2"/>
        <v>2000667.3187500001</v>
      </c>
    </row>
    <row r="51" spans="1:49" x14ac:dyDescent="0.25">
      <c r="A51" s="218" t="s">
        <v>8</v>
      </c>
      <c r="B51" s="235" t="s">
        <v>28</v>
      </c>
      <c r="C51" s="30" t="s">
        <v>568</v>
      </c>
      <c r="D51" s="231"/>
      <c r="E51" s="149"/>
      <c r="F51" s="162"/>
      <c r="G51" s="148"/>
      <c r="H51" s="149"/>
      <c r="I51" s="147"/>
      <c r="J51" s="38">
        <v>1</v>
      </c>
      <c r="K51" s="38">
        <f>9*0.2</f>
        <v>1.8</v>
      </c>
      <c r="L51" s="56">
        <f>9*0.85*($J$9+$J$10)*'Costo HH'!$E$4</f>
        <v>248266.40625</v>
      </c>
      <c r="M51" s="64">
        <v>0</v>
      </c>
      <c r="N51" s="38">
        <v>0</v>
      </c>
      <c r="O51" s="58">
        <f>9*0*($M$10)*'Costo HH'!$E$8</f>
        <v>0</v>
      </c>
      <c r="P51" s="64">
        <v>13</v>
      </c>
      <c r="Q51" s="34">
        <f>9*3.8</f>
        <v>34.199999999999996</v>
      </c>
      <c r="R51" s="183">
        <f>9*0.3*($P$9+$P$10)*'Costo HH'!$E$4</f>
        <v>16394.0625</v>
      </c>
      <c r="S51" s="64">
        <v>1</v>
      </c>
      <c r="T51" s="34">
        <f>9*0.5</f>
        <v>4.5</v>
      </c>
      <c r="U51" s="56">
        <f>9*0.08*($S$9)*'Costo HH'!$E$6</f>
        <v>271.35000000000002</v>
      </c>
      <c r="V51" s="174"/>
      <c r="W51" s="174"/>
      <c r="X51" s="175"/>
      <c r="Y51" s="38">
        <v>0</v>
      </c>
      <c r="Z51" s="34">
        <v>0</v>
      </c>
      <c r="AA51" s="183">
        <f>9*0*($Y$10)*'Costo HH'!$E$6</f>
        <v>0</v>
      </c>
      <c r="AB51" s="145"/>
      <c r="AC51" s="146"/>
      <c r="AD51" s="147"/>
      <c r="AE51" s="38">
        <v>0</v>
      </c>
      <c r="AF51" s="34">
        <v>0</v>
      </c>
      <c r="AG51" s="183">
        <f>9*3/2*($AE$10+$AE$9)*'Costo HH'!$E$6</f>
        <v>93276.5625</v>
      </c>
      <c r="AH51" s="145"/>
      <c r="AI51" s="146"/>
      <c r="AJ51" s="147"/>
      <c r="AK51" s="64">
        <v>2</v>
      </c>
      <c r="AL51" s="34">
        <v>44.1</v>
      </c>
      <c r="AM51" s="56">
        <f>AL51/9*($AK$10+$AK$9)*'Costo HH'!$E$6</f>
        <v>53553.9375</v>
      </c>
      <c r="AN51" s="64">
        <v>0</v>
      </c>
      <c r="AO51" s="34">
        <v>0</v>
      </c>
      <c r="AP51" s="56">
        <f>AO51/9*($AN$10+$AN$9)*'Costo HH'!$E$6</f>
        <v>0</v>
      </c>
      <c r="AQ51" s="191"/>
      <c r="AR51" s="191"/>
      <c r="AS51" s="191"/>
      <c r="AU51" s="64">
        <f t="shared" si="0"/>
        <v>17</v>
      </c>
      <c r="AV51" s="34">
        <f t="shared" si="1"/>
        <v>84.6</v>
      </c>
      <c r="AW51" s="49">
        <f t="shared" si="2"/>
        <v>411762.31874999998</v>
      </c>
    </row>
    <row r="52" spans="1:49" x14ac:dyDescent="0.25">
      <c r="A52" s="218" t="s">
        <v>8</v>
      </c>
      <c r="B52" s="235" t="s">
        <v>28</v>
      </c>
      <c r="C52" s="30" t="s">
        <v>39</v>
      </c>
      <c r="D52" s="231"/>
      <c r="E52" s="149"/>
      <c r="F52" s="162"/>
      <c r="G52" s="148"/>
      <c r="H52" s="149"/>
      <c r="I52" s="147"/>
      <c r="J52" s="38">
        <v>2</v>
      </c>
      <c r="K52" s="38">
        <f>9*0.4</f>
        <v>3.6</v>
      </c>
      <c r="L52" s="56">
        <f>9*0.54*($J$9+$J$10)*'Costo HH'!$E$4</f>
        <v>157722.1875</v>
      </c>
      <c r="M52" s="64">
        <v>2</v>
      </c>
      <c r="N52" s="38">
        <f>9*1.2</f>
        <v>10.799999999999999</v>
      </c>
      <c r="O52" s="58">
        <f>9*0.85*($M$10)*'Costo HH'!$E$8</f>
        <v>8328.9374999999982</v>
      </c>
      <c r="P52" s="64">
        <v>2</v>
      </c>
      <c r="Q52" s="34">
        <f>9*1.1</f>
        <v>9.9</v>
      </c>
      <c r="R52" s="183">
        <f>9*0.05*($P$9+$P$10)*'Costo HH'!$E$4</f>
        <v>2732.34375</v>
      </c>
      <c r="S52" s="64">
        <v>0</v>
      </c>
      <c r="T52" s="34">
        <f>9*0</f>
        <v>0</v>
      </c>
      <c r="U52" s="56">
        <f>9*0*($S$9)*'Costo HH'!$E$6</f>
        <v>0</v>
      </c>
      <c r="V52" s="174"/>
      <c r="W52" s="174"/>
      <c r="X52" s="175"/>
      <c r="Y52" s="38">
        <v>6</v>
      </c>
      <c r="Z52" s="34">
        <v>15.3</v>
      </c>
      <c r="AA52" s="183">
        <f>9*1/2*($Y$10)*'Costo HH'!$E$6</f>
        <v>28265.625</v>
      </c>
      <c r="AB52" s="145"/>
      <c r="AC52" s="146"/>
      <c r="AD52" s="147"/>
      <c r="AE52" s="38">
        <v>1</v>
      </c>
      <c r="AF52" s="34">
        <v>16</v>
      </c>
      <c r="AG52" s="183">
        <f>9*16/12*($AE$10+$AE$9)*'Costo HH'!$E$6</f>
        <v>82912.5</v>
      </c>
      <c r="AH52" s="145"/>
      <c r="AI52" s="146"/>
      <c r="AJ52" s="147"/>
      <c r="AK52" s="64">
        <v>0</v>
      </c>
      <c r="AL52" s="34">
        <v>0</v>
      </c>
      <c r="AM52" s="56">
        <f>AL52/9*($AK$10+$AK$9)*'Costo HH'!$E$6</f>
        <v>0</v>
      </c>
      <c r="AN52" s="64">
        <v>1</v>
      </c>
      <c r="AO52" s="34">
        <v>45</v>
      </c>
      <c r="AP52" s="56">
        <f>AO52/9*($AN$10+$AN$9)*'Costo HH'!$E$6</f>
        <v>126881.25</v>
      </c>
      <c r="AQ52" s="191"/>
      <c r="AR52" s="191"/>
      <c r="AS52" s="191"/>
      <c r="AU52" s="64">
        <f t="shared" si="0"/>
        <v>14</v>
      </c>
      <c r="AV52" s="34">
        <f t="shared" si="1"/>
        <v>100.6</v>
      </c>
      <c r="AW52" s="49">
        <f t="shared" si="2"/>
        <v>406842.84375</v>
      </c>
    </row>
    <row r="53" spans="1:49" x14ac:dyDescent="0.25">
      <c r="A53" s="218" t="s">
        <v>8</v>
      </c>
      <c r="B53" s="235" t="s">
        <v>28</v>
      </c>
      <c r="C53" s="30" t="s">
        <v>382</v>
      </c>
      <c r="D53" s="231"/>
      <c r="E53" s="149"/>
      <c r="F53" s="162"/>
      <c r="G53" s="148"/>
      <c r="H53" s="149"/>
      <c r="I53" s="147"/>
      <c r="J53" s="38">
        <v>2</v>
      </c>
      <c r="K53" s="38">
        <f>9*1.5</f>
        <v>13.5</v>
      </c>
      <c r="L53" s="56">
        <f>9*0.77*($J$9+$J$10)*'Costo HH'!$E$4</f>
        <v>224900.15624999997</v>
      </c>
      <c r="M53" s="64">
        <v>2</v>
      </c>
      <c r="N53" s="38">
        <f>9*1.3</f>
        <v>11.700000000000001</v>
      </c>
      <c r="O53" s="58">
        <f>9*0.95*($M$10)*'Costo HH'!$E$8</f>
        <v>9308.8125</v>
      </c>
      <c r="P53" s="64">
        <v>1</v>
      </c>
      <c r="Q53" s="34">
        <f>9*1.2</f>
        <v>10.799999999999999</v>
      </c>
      <c r="R53" s="183">
        <f>9*0.07*($P$9+$P$10)*'Costo HH'!$E$4</f>
        <v>3825.2812500000005</v>
      </c>
      <c r="S53" s="64">
        <v>1</v>
      </c>
      <c r="T53" s="34">
        <f>9*0.3</f>
        <v>2.6999999999999997</v>
      </c>
      <c r="U53" s="56">
        <f>9*0.4*($S$9)*'Costo HH'!$E$6</f>
        <v>1356.75</v>
      </c>
      <c r="V53" s="174"/>
      <c r="W53" s="174"/>
      <c r="X53" s="175"/>
      <c r="Y53" s="38">
        <v>5</v>
      </c>
      <c r="Z53" s="34">
        <v>30.6</v>
      </c>
      <c r="AA53" s="183">
        <f>9*3/2*($Y$10)*'Costo HH'!$E$6</f>
        <v>84796.875</v>
      </c>
      <c r="AB53" s="145"/>
      <c r="AC53" s="146"/>
      <c r="AD53" s="147"/>
      <c r="AE53" s="38">
        <v>2</v>
      </c>
      <c r="AF53" s="34">
        <v>40</v>
      </c>
      <c r="AG53" s="183">
        <f>9*40/12*($AE$10+$AE$9)*'Costo HH'!$E$6</f>
        <v>207281.25</v>
      </c>
      <c r="AH53" s="145"/>
      <c r="AI53" s="146"/>
      <c r="AJ53" s="147"/>
      <c r="AK53" s="64">
        <v>0</v>
      </c>
      <c r="AL53" s="34">
        <v>0</v>
      </c>
      <c r="AM53" s="56">
        <f>AL53/9*($AK$10+$AK$9)*'Costo HH'!$E$6</f>
        <v>0</v>
      </c>
      <c r="AN53" s="64">
        <v>4</v>
      </c>
      <c r="AO53" s="34">
        <v>54</v>
      </c>
      <c r="AP53" s="56">
        <f>AO53/9*($AN$10+$AN$9)*'Costo HH'!$E$6</f>
        <v>152257.5</v>
      </c>
      <c r="AQ53" s="191"/>
      <c r="AR53" s="191"/>
      <c r="AS53" s="191"/>
      <c r="AU53" s="64">
        <f t="shared" si="0"/>
        <v>17</v>
      </c>
      <c r="AV53" s="34">
        <f t="shared" si="1"/>
        <v>163.30000000000001</v>
      </c>
      <c r="AW53" s="49">
        <f t="shared" si="2"/>
        <v>683726.625</v>
      </c>
    </row>
    <row r="54" spans="1:49" x14ac:dyDescent="0.25">
      <c r="A54" s="218" t="s">
        <v>8</v>
      </c>
      <c r="B54" s="235" t="s">
        <v>28</v>
      </c>
      <c r="C54" s="30" t="s">
        <v>40</v>
      </c>
      <c r="D54" s="231"/>
      <c r="E54" s="149"/>
      <c r="F54" s="162"/>
      <c r="G54" s="148"/>
      <c r="H54" s="149"/>
      <c r="I54" s="147"/>
      <c r="J54" s="38">
        <v>4</v>
      </c>
      <c r="K54" s="38">
        <f>9*0.5</f>
        <v>4.5</v>
      </c>
      <c r="L54" s="56">
        <f>9*1.87*($J$9+$J$10)*'Costo HH'!$E$4</f>
        <v>546186.09375</v>
      </c>
      <c r="M54" s="64">
        <v>1</v>
      </c>
      <c r="N54" s="38">
        <f>9*0.12</f>
        <v>1.08</v>
      </c>
      <c r="O54" s="58">
        <f>9*0.15*($M$10)*'Costo HH'!$E$8</f>
        <v>1469.8124999999998</v>
      </c>
      <c r="P54" s="64">
        <v>3</v>
      </c>
      <c r="Q54" s="34">
        <f>9*2.25</f>
        <v>20.25</v>
      </c>
      <c r="R54" s="183">
        <f>9*0.08*($P$9+$P$10)*'Costo HH'!$E$4</f>
        <v>4371.75</v>
      </c>
      <c r="S54" s="64">
        <v>1</v>
      </c>
      <c r="T54" s="34">
        <f>9*0.3</f>
        <v>2.6999999999999997</v>
      </c>
      <c r="U54" s="56">
        <f>9*0.45*($S$9)*'Costo HH'!$E$6</f>
        <v>1526.3437499999998</v>
      </c>
      <c r="V54" s="174"/>
      <c r="W54" s="174"/>
      <c r="X54" s="175"/>
      <c r="Y54" s="38">
        <v>2</v>
      </c>
      <c r="Z54" s="34">
        <v>15.3</v>
      </c>
      <c r="AA54" s="183">
        <f>9*0.6*($Y$10)*'Costo HH'!$E$6</f>
        <v>33918.75</v>
      </c>
      <c r="AB54" s="145"/>
      <c r="AC54" s="146"/>
      <c r="AD54" s="147"/>
      <c r="AE54" s="38">
        <v>0</v>
      </c>
      <c r="AF54" s="34">
        <v>0</v>
      </c>
      <c r="AG54" s="183">
        <f>9*0*($AE$10+$AE$9)*'Costo HH'!$E$6</f>
        <v>0</v>
      </c>
      <c r="AH54" s="145"/>
      <c r="AI54" s="146"/>
      <c r="AJ54" s="147"/>
      <c r="AK54" s="64">
        <v>1</v>
      </c>
      <c r="AL54" s="34">
        <v>12.600000000000001</v>
      </c>
      <c r="AM54" s="56">
        <f>AL54/9*($AK$10+$AK$9)*'Costo HH'!$E$6</f>
        <v>15301.125000000002</v>
      </c>
      <c r="AN54" s="64">
        <v>2</v>
      </c>
      <c r="AO54" s="34">
        <v>36</v>
      </c>
      <c r="AP54" s="56">
        <f>AO54/9*($AN$10+$AN$9)*'Costo HH'!$E$6</f>
        <v>101505</v>
      </c>
      <c r="AQ54" s="191"/>
      <c r="AR54" s="191"/>
      <c r="AS54" s="191"/>
      <c r="AU54" s="64">
        <f t="shared" si="0"/>
        <v>14</v>
      </c>
      <c r="AV54" s="34">
        <f t="shared" si="1"/>
        <v>92.43</v>
      </c>
      <c r="AW54" s="49">
        <f t="shared" si="2"/>
        <v>704278.875</v>
      </c>
    </row>
    <row r="55" spans="1:49" x14ac:dyDescent="0.25">
      <c r="A55" s="218" t="s">
        <v>8</v>
      </c>
      <c r="B55" s="235" t="s">
        <v>28</v>
      </c>
      <c r="C55" s="30" t="s">
        <v>41</v>
      </c>
      <c r="D55" s="231"/>
      <c r="E55" s="149"/>
      <c r="F55" s="162"/>
      <c r="G55" s="148"/>
      <c r="H55" s="149"/>
      <c r="I55" s="147"/>
      <c r="J55" s="38">
        <v>10</v>
      </c>
      <c r="K55" s="38">
        <f>9*1</f>
        <v>9</v>
      </c>
      <c r="L55" s="56">
        <f>9*0.5*($J$9+$J$10)*'Costo HH'!$E$4</f>
        <v>146039.0625</v>
      </c>
      <c r="M55" s="64">
        <v>2</v>
      </c>
      <c r="N55" s="38">
        <f>9*0.7</f>
        <v>6.3</v>
      </c>
      <c r="O55" s="58">
        <f>9*0.7*($M$10)*'Costo HH'!$E$8</f>
        <v>6859.1249999999991</v>
      </c>
      <c r="P55" s="64">
        <v>1</v>
      </c>
      <c r="Q55" s="34">
        <f>9*1.16</f>
        <v>10.44</v>
      </c>
      <c r="R55" s="183">
        <f>9*0.07*($P$9+$P$10)*'Costo HH'!$E$4</f>
        <v>3825.2812500000005</v>
      </c>
      <c r="S55" s="64">
        <v>0</v>
      </c>
      <c r="T55" s="34">
        <f>9*0</f>
        <v>0</v>
      </c>
      <c r="U55" s="56">
        <f>9*0*($S$9)*'Costo HH'!$E$6</f>
        <v>0</v>
      </c>
      <c r="V55" s="174"/>
      <c r="W55" s="174"/>
      <c r="X55" s="175"/>
      <c r="Y55" s="38">
        <v>3</v>
      </c>
      <c r="Z55" s="34">
        <v>0</v>
      </c>
      <c r="AA55" s="183">
        <f>9*0*($Y$10)*'Costo HH'!$E$6</f>
        <v>0</v>
      </c>
      <c r="AB55" s="145"/>
      <c r="AC55" s="146"/>
      <c r="AD55" s="147"/>
      <c r="AE55" s="38">
        <v>0</v>
      </c>
      <c r="AF55" s="34">
        <v>0</v>
      </c>
      <c r="AG55" s="183">
        <f>9*0*($AE$10+$AE$9)*'Costo HH'!$E$6</f>
        <v>0</v>
      </c>
      <c r="AH55" s="145"/>
      <c r="AI55" s="146"/>
      <c r="AJ55" s="147"/>
      <c r="AK55" s="64">
        <v>1</v>
      </c>
      <c r="AL55" s="34">
        <v>6.3000000000000007</v>
      </c>
      <c r="AM55" s="56">
        <f>AL55/9*($AK$10+$AK$9)*'Costo HH'!$E$6</f>
        <v>7650.5625000000009</v>
      </c>
      <c r="AN55" s="64">
        <v>1</v>
      </c>
      <c r="AO55" s="34">
        <v>27</v>
      </c>
      <c r="AP55" s="56">
        <f>AO55/9*($AN$10+$AN$9)*'Costo HH'!$E$6</f>
        <v>76128.75</v>
      </c>
      <c r="AQ55" s="191"/>
      <c r="AR55" s="191"/>
      <c r="AS55" s="191"/>
      <c r="AU55" s="64">
        <f t="shared" si="0"/>
        <v>18</v>
      </c>
      <c r="AV55" s="34">
        <f t="shared" si="1"/>
        <v>59.040000000000006</v>
      </c>
      <c r="AW55" s="49">
        <f t="shared" si="2"/>
        <v>240502.78125</v>
      </c>
    </row>
    <row r="56" spans="1:49" x14ac:dyDescent="0.25">
      <c r="A56" s="218" t="s">
        <v>8</v>
      </c>
      <c r="B56" s="235" t="s">
        <v>28</v>
      </c>
      <c r="C56" s="30" t="s">
        <v>386</v>
      </c>
      <c r="D56" s="231"/>
      <c r="E56" s="149"/>
      <c r="F56" s="162"/>
      <c r="G56" s="148"/>
      <c r="H56" s="149"/>
      <c r="I56" s="147"/>
      <c r="J56" s="38">
        <v>2</v>
      </c>
      <c r="K56" s="38">
        <v>0</v>
      </c>
      <c r="L56" s="56">
        <f>9*0.25*($J$9+$J$10)*'Costo HH'!$E$4</f>
        <v>73019.53125</v>
      </c>
      <c r="M56" s="64">
        <v>1</v>
      </c>
      <c r="N56" s="38">
        <f>9*0.35</f>
        <v>3.15</v>
      </c>
      <c r="O56" s="58">
        <f>9*0.1*($M$10)*'Costo HH'!$E$8</f>
        <v>979.87500000000011</v>
      </c>
      <c r="P56" s="64">
        <v>0</v>
      </c>
      <c r="Q56" s="34">
        <f>0*1.16</f>
        <v>0</v>
      </c>
      <c r="R56" s="183">
        <f>9*0*($P$9+$P$10)*'Costo HH'!$E$4</f>
        <v>0</v>
      </c>
      <c r="S56" s="64">
        <v>1</v>
      </c>
      <c r="T56" s="34">
        <f>9*0.2</f>
        <v>1.8</v>
      </c>
      <c r="U56" s="56">
        <f>9*0.24*($S$9)*'Costo HH'!$E$6</f>
        <v>814.05000000000007</v>
      </c>
      <c r="V56" s="174"/>
      <c r="W56" s="174"/>
      <c r="X56" s="175"/>
      <c r="Y56" s="38">
        <v>0</v>
      </c>
      <c r="Z56" s="34">
        <v>0</v>
      </c>
      <c r="AA56" s="183">
        <f>9*0*($Y$10)*'Costo HH'!$E$6</f>
        <v>0</v>
      </c>
      <c r="AB56" s="145"/>
      <c r="AC56" s="146"/>
      <c r="AD56" s="147"/>
      <c r="AE56" s="38">
        <v>1</v>
      </c>
      <c r="AF56" s="34">
        <v>16.2</v>
      </c>
      <c r="AG56" s="183">
        <f>9*15/12*($AE$10+$AE$9)*'Costo HH'!$E$6</f>
        <v>77730.46875</v>
      </c>
      <c r="AH56" s="145"/>
      <c r="AI56" s="146"/>
      <c r="AJ56" s="147"/>
      <c r="AK56" s="64">
        <v>0</v>
      </c>
      <c r="AL56" s="34">
        <v>0</v>
      </c>
      <c r="AM56" s="56">
        <f>AL56/9*($AK$10+$AK$9)*'Costo HH'!$E$6</f>
        <v>0</v>
      </c>
      <c r="AN56" s="64">
        <v>1</v>
      </c>
      <c r="AO56" s="34">
        <v>18</v>
      </c>
      <c r="AP56" s="56">
        <f>AO56/9*($AN$10+$AN$9)*'Costo HH'!$E$6</f>
        <v>50752.5</v>
      </c>
      <c r="AQ56" s="191"/>
      <c r="AR56" s="191"/>
      <c r="AS56" s="191"/>
      <c r="AU56" s="64">
        <f t="shared" si="0"/>
        <v>6</v>
      </c>
      <c r="AV56" s="34">
        <f t="shared" si="1"/>
        <v>39.15</v>
      </c>
      <c r="AW56" s="49">
        <f t="shared" si="2"/>
        <v>203296.42499999999</v>
      </c>
    </row>
    <row r="57" spans="1:49" x14ac:dyDescent="0.25">
      <c r="A57" s="218" t="s">
        <v>8</v>
      </c>
      <c r="B57" s="235" t="s">
        <v>42</v>
      </c>
      <c r="C57" s="30" t="s">
        <v>43</v>
      </c>
      <c r="D57" s="231"/>
      <c r="E57" s="149"/>
      <c r="F57" s="162"/>
      <c r="G57" s="148"/>
      <c r="H57" s="149"/>
      <c r="I57" s="147"/>
      <c r="J57" s="38">
        <v>12</v>
      </c>
      <c r="K57" s="38">
        <f>9*2</f>
        <v>18</v>
      </c>
      <c r="L57" s="56">
        <f>9*0.25*($J$9+$J$10)*'Costo HH'!$E$4</f>
        <v>73019.53125</v>
      </c>
      <c r="M57" s="64">
        <v>1</v>
      </c>
      <c r="N57" s="38">
        <f>9*0.8</f>
        <v>7.2</v>
      </c>
      <c r="O57" s="58">
        <f>9*0.87*($M$10)*'Costo HH'!$E$8</f>
        <v>8524.9125000000004</v>
      </c>
      <c r="P57" s="64">
        <v>5</v>
      </c>
      <c r="Q57" s="34">
        <f>9*1.9</f>
        <v>17.099999999999998</v>
      </c>
      <c r="R57" s="183">
        <f>9*0.5*($P$9+$P$10)*'Costo HH'!$E$4</f>
        <v>27323.4375</v>
      </c>
      <c r="S57" s="64">
        <v>5</v>
      </c>
      <c r="T57" s="34">
        <f>9*2.4</f>
        <v>21.599999999999998</v>
      </c>
      <c r="U57" s="56">
        <f>9*1.3*($S$9)*'Costo HH'!$E$6</f>
        <v>4409.4375</v>
      </c>
      <c r="V57" s="174"/>
      <c r="W57" s="174"/>
      <c r="X57" s="175"/>
      <c r="Y57" s="38">
        <v>6</v>
      </c>
      <c r="Z57" s="34">
        <v>15.3</v>
      </c>
      <c r="AA57" s="183">
        <f>9*0.7*($Y$10)*'Costo HH'!$E$6</f>
        <v>39571.875</v>
      </c>
      <c r="AB57" s="145"/>
      <c r="AC57" s="146"/>
      <c r="AD57" s="147"/>
      <c r="AE57" s="38">
        <v>5</v>
      </c>
      <c r="AF57" s="34">
        <v>48.6</v>
      </c>
      <c r="AG57" s="183">
        <f>9*50/12*($AE$10+$AE$9)*'Costo HH'!$E$6</f>
        <v>259101.5625</v>
      </c>
      <c r="AH57" s="145"/>
      <c r="AI57" s="146"/>
      <c r="AJ57" s="147"/>
      <c r="AK57" s="64">
        <v>0</v>
      </c>
      <c r="AL57" s="34">
        <v>0</v>
      </c>
      <c r="AM57" s="56">
        <f>AL57/9*($AK$10+$AK$9)*'Costo HH'!$E$6</f>
        <v>0</v>
      </c>
      <c r="AN57" s="64">
        <v>2</v>
      </c>
      <c r="AO57" s="34">
        <v>9</v>
      </c>
      <c r="AP57" s="56">
        <f>AO57/9*($AN$10+$AN$9)*'Costo HH'!$E$6</f>
        <v>25376.25</v>
      </c>
      <c r="AQ57" s="191"/>
      <c r="AR57" s="191"/>
      <c r="AS57" s="191"/>
      <c r="AU57" s="64">
        <f t="shared" si="0"/>
        <v>36</v>
      </c>
      <c r="AV57" s="34">
        <f t="shared" si="1"/>
        <v>136.79999999999998</v>
      </c>
      <c r="AW57" s="49">
        <f t="shared" si="2"/>
        <v>437327.00624999998</v>
      </c>
    </row>
    <row r="58" spans="1:49" x14ac:dyDescent="0.25">
      <c r="A58" s="218" t="s">
        <v>8</v>
      </c>
      <c r="B58" s="235" t="s">
        <v>42</v>
      </c>
      <c r="C58" s="30" t="s">
        <v>44</v>
      </c>
      <c r="D58" s="231"/>
      <c r="E58" s="149"/>
      <c r="F58" s="162"/>
      <c r="G58" s="148"/>
      <c r="H58" s="149"/>
      <c r="I58" s="147"/>
      <c r="J58" s="38">
        <v>25</v>
      </c>
      <c r="K58" s="38">
        <f>9*1</f>
        <v>9</v>
      </c>
      <c r="L58" s="56">
        <f>9*3.7*($J$9+$J$10)*'Costo HH'!$E$4</f>
        <v>1080689.0625000002</v>
      </c>
      <c r="M58" s="64">
        <v>3</v>
      </c>
      <c r="N58" s="38">
        <f>9*0.3</f>
        <v>2.6999999999999997</v>
      </c>
      <c r="O58" s="58">
        <f>9*1.7*($M$10)*'Costo HH'!$E$8</f>
        <v>16657.874999999996</v>
      </c>
      <c r="P58" s="64">
        <v>3</v>
      </c>
      <c r="Q58" s="34">
        <f>9*1.1</f>
        <v>9.9</v>
      </c>
      <c r="R58" s="183">
        <f>9*0.3*($P$9+$P$10)*'Costo HH'!$E$4</f>
        <v>16394.0625</v>
      </c>
      <c r="S58" s="64">
        <v>2</v>
      </c>
      <c r="T58" s="34">
        <f>9*0.2</f>
        <v>1.8</v>
      </c>
      <c r="U58" s="56">
        <f>9*1.5*($S$9)*'Costo HH'!$E$6</f>
        <v>5087.8125</v>
      </c>
      <c r="V58" s="174"/>
      <c r="W58" s="174"/>
      <c r="X58" s="175"/>
      <c r="Y58" s="38">
        <v>8</v>
      </c>
      <c r="Z58" s="34">
        <v>45.9</v>
      </c>
      <c r="AA58" s="183">
        <f>9*1.7*($Y$10)*'Costo HH'!$E$6</f>
        <v>96103.125</v>
      </c>
      <c r="AB58" s="145"/>
      <c r="AC58" s="146"/>
      <c r="AD58" s="147"/>
      <c r="AE58" s="38">
        <v>4</v>
      </c>
      <c r="AF58" s="34">
        <v>48.6</v>
      </c>
      <c r="AG58" s="183">
        <f>9*45/12*($AE$10+$AE$9)*'Costo HH'!$E$6</f>
        <v>233191.40625</v>
      </c>
      <c r="AH58" s="145"/>
      <c r="AI58" s="146"/>
      <c r="AJ58" s="147"/>
      <c r="AK58" s="64">
        <v>2</v>
      </c>
      <c r="AL58" s="34">
        <v>12.600000000000001</v>
      </c>
      <c r="AM58" s="56">
        <f>AL58/9*($AK$10+$AK$9)*'Costo HH'!$E$6</f>
        <v>15301.125000000002</v>
      </c>
      <c r="AN58" s="64">
        <v>2</v>
      </c>
      <c r="AO58" s="34">
        <v>9</v>
      </c>
      <c r="AP58" s="56">
        <f>AO58/9*($AN$10+$AN$9)*'Costo HH'!$E$6</f>
        <v>25376.25</v>
      </c>
      <c r="AQ58" s="191"/>
      <c r="AR58" s="191"/>
      <c r="AS58" s="191"/>
      <c r="AU58" s="64">
        <f t="shared" si="0"/>
        <v>49</v>
      </c>
      <c r="AV58" s="34">
        <f t="shared" si="1"/>
        <v>139.5</v>
      </c>
      <c r="AW58" s="49">
        <f t="shared" si="2"/>
        <v>1488800.7187500002</v>
      </c>
    </row>
    <row r="59" spans="1:49" x14ac:dyDescent="0.25">
      <c r="A59" s="218" t="s">
        <v>8</v>
      </c>
      <c r="B59" s="235" t="s">
        <v>42</v>
      </c>
      <c r="C59" s="30" t="s">
        <v>45</v>
      </c>
      <c r="D59" s="231"/>
      <c r="E59" s="149"/>
      <c r="F59" s="162"/>
      <c r="G59" s="148"/>
      <c r="H59" s="149"/>
      <c r="I59" s="147"/>
      <c r="J59" s="38">
        <v>15</v>
      </c>
      <c r="K59" s="38">
        <f>9*0.5</f>
        <v>4.5</v>
      </c>
      <c r="L59" s="56">
        <f>9*2.2*($J$9+$J$10)*'Costo HH'!$E$4</f>
        <v>642571.875</v>
      </c>
      <c r="M59" s="64">
        <v>1</v>
      </c>
      <c r="N59" s="38">
        <f>9*1.3</f>
        <v>11.700000000000001</v>
      </c>
      <c r="O59" s="58">
        <f>9*1.9*($M$10)*'Costo HH'!$E$8</f>
        <v>18617.625</v>
      </c>
      <c r="P59" s="64">
        <v>3</v>
      </c>
      <c r="Q59" s="34">
        <f>9*1.45</f>
        <v>13.049999999999999</v>
      </c>
      <c r="R59" s="183">
        <f>9*0.35*($P$9+$P$10)*'Costo HH'!$E$4</f>
        <v>19126.40625</v>
      </c>
      <c r="S59" s="64">
        <v>1</v>
      </c>
      <c r="T59" s="34">
        <f>9*0.2</f>
        <v>1.8</v>
      </c>
      <c r="U59" s="56">
        <f>9*0.3*($S$9)*'Costo HH'!$E$6</f>
        <v>1017.5625</v>
      </c>
      <c r="V59" s="174"/>
      <c r="W59" s="174"/>
      <c r="X59" s="175"/>
      <c r="Y59" s="38">
        <v>3</v>
      </c>
      <c r="Z59" s="34">
        <v>15.3</v>
      </c>
      <c r="AA59" s="183">
        <f>9*0.48*($Y$10)*'Costo HH'!$E$6</f>
        <v>27135</v>
      </c>
      <c r="AB59" s="145"/>
      <c r="AC59" s="146"/>
      <c r="AD59" s="147"/>
      <c r="AE59" s="38">
        <v>0</v>
      </c>
      <c r="AF59" s="34">
        <v>0</v>
      </c>
      <c r="AG59" s="183">
        <f>9*0*($AE$10+$AE$9)*'Costo HH'!$E$6</f>
        <v>0</v>
      </c>
      <c r="AH59" s="145"/>
      <c r="AI59" s="146"/>
      <c r="AJ59" s="147"/>
      <c r="AK59" s="64">
        <v>0</v>
      </c>
      <c r="AL59" s="34">
        <v>0</v>
      </c>
      <c r="AM59" s="56">
        <f>AL59/9*($AK$10+$AK$9)*'Costo HH'!$E$6</f>
        <v>0</v>
      </c>
      <c r="AN59" s="64">
        <v>2</v>
      </c>
      <c r="AO59" s="34">
        <v>9</v>
      </c>
      <c r="AP59" s="56">
        <f>AO59/9*($AN$10+$AN$9)*'Costo HH'!$E$6</f>
        <v>25376.25</v>
      </c>
      <c r="AQ59" s="191"/>
      <c r="AR59" s="191"/>
      <c r="AS59" s="191"/>
      <c r="AU59" s="64">
        <f t="shared" si="0"/>
        <v>25</v>
      </c>
      <c r="AV59" s="34">
        <f t="shared" si="1"/>
        <v>55.35</v>
      </c>
      <c r="AW59" s="49">
        <f t="shared" si="2"/>
        <v>733844.71875</v>
      </c>
    </row>
    <row r="60" spans="1:49" x14ac:dyDescent="0.25">
      <c r="A60" s="218" t="s">
        <v>8</v>
      </c>
      <c r="B60" s="235" t="s">
        <v>42</v>
      </c>
      <c r="C60" s="30" t="s">
        <v>46</v>
      </c>
      <c r="D60" s="231"/>
      <c r="E60" s="149"/>
      <c r="F60" s="162"/>
      <c r="G60" s="148"/>
      <c r="H60" s="149"/>
      <c r="I60" s="147"/>
      <c r="J60" s="38">
        <v>25</v>
      </c>
      <c r="K60" s="38">
        <f>9*3</f>
        <v>27</v>
      </c>
      <c r="L60" s="56">
        <f>9*1.8*($J$9+$J$10)*'Costo HH'!$E$4</f>
        <v>525740.625</v>
      </c>
      <c r="M60" s="64">
        <v>2</v>
      </c>
      <c r="N60" s="38">
        <f>9*0.7</f>
        <v>6.3</v>
      </c>
      <c r="O60" s="58">
        <f>9*0.2*($M$10)*'Costo HH'!$E$8</f>
        <v>1959.7500000000002</v>
      </c>
      <c r="P60" s="64">
        <v>3</v>
      </c>
      <c r="Q60" s="34">
        <f>9*1.35</f>
        <v>12.15</v>
      </c>
      <c r="R60" s="183">
        <f>9*0.27*($P$9+$P$10)*'Costo HH'!$E$4</f>
        <v>14754.65625</v>
      </c>
      <c r="S60" s="64">
        <v>1</v>
      </c>
      <c r="T60" s="34">
        <f>9*0.2</f>
        <v>1.8</v>
      </c>
      <c r="U60" s="56">
        <f>9*0.15*($S$9)*'Costo HH'!$E$6</f>
        <v>508.78125</v>
      </c>
      <c r="V60" s="174"/>
      <c r="W60" s="174"/>
      <c r="X60" s="175"/>
      <c r="Y60" s="38">
        <v>2</v>
      </c>
      <c r="Z60" s="34">
        <v>15.3</v>
      </c>
      <c r="AA60" s="183">
        <f>9*0.512*($Y$10)*'Costo HH'!$E$6</f>
        <v>28944.000000000004</v>
      </c>
      <c r="AB60" s="145"/>
      <c r="AC60" s="146"/>
      <c r="AD60" s="147"/>
      <c r="AE60" s="38">
        <v>4</v>
      </c>
      <c r="AF60" s="34">
        <v>32.4</v>
      </c>
      <c r="AG60" s="183">
        <f>9*3/2*($AE$10+$AE$9)*'Costo HH'!$E$6</f>
        <v>93276.5625</v>
      </c>
      <c r="AH60" s="145"/>
      <c r="AI60" s="146"/>
      <c r="AJ60" s="147"/>
      <c r="AK60" s="64">
        <v>0</v>
      </c>
      <c r="AL60" s="34">
        <v>0</v>
      </c>
      <c r="AM60" s="56">
        <f>AL60/9*($AK$10+$AK$9)*'Costo HH'!$E$6</f>
        <v>0</v>
      </c>
      <c r="AN60" s="64">
        <v>0</v>
      </c>
      <c r="AO60" s="34">
        <v>0</v>
      </c>
      <c r="AP60" s="56">
        <f>AO60/9*($AN$10+$AN$9)*'Costo HH'!$E$6</f>
        <v>0</v>
      </c>
      <c r="AQ60" s="191"/>
      <c r="AR60" s="191"/>
      <c r="AS60" s="191"/>
      <c r="AU60" s="64">
        <f t="shared" si="0"/>
        <v>37</v>
      </c>
      <c r="AV60" s="34">
        <f t="shared" si="1"/>
        <v>94.949999999999989</v>
      </c>
      <c r="AW60" s="49">
        <f t="shared" si="2"/>
        <v>665184.375</v>
      </c>
    </row>
    <row r="61" spans="1:49" x14ac:dyDescent="0.25">
      <c r="A61" s="218" t="s">
        <v>8</v>
      </c>
      <c r="B61" s="235" t="s">
        <v>47</v>
      </c>
      <c r="C61" s="30" t="s">
        <v>48</v>
      </c>
      <c r="D61" s="231"/>
      <c r="E61" s="149"/>
      <c r="F61" s="162"/>
      <c r="G61" s="148"/>
      <c r="H61" s="149"/>
      <c r="I61" s="147"/>
      <c r="J61" s="38">
        <v>2</v>
      </c>
      <c r="K61" s="38">
        <f>9*1</f>
        <v>9</v>
      </c>
      <c r="L61" s="56">
        <f>9*1.2*($J$9+$J$10)*'Costo HH'!$E$4</f>
        <v>350493.74999999994</v>
      </c>
      <c r="M61" s="64">
        <v>0</v>
      </c>
      <c r="N61" s="38">
        <v>0</v>
      </c>
      <c r="O61" s="58">
        <f>9*0*($M$10)*'Costo HH'!$E$8</f>
        <v>0</v>
      </c>
      <c r="P61" s="64">
        <v>1</v>
      </c>
      <c r="Q61" s="34">
        <f>9*0.12</f>
        <v>1.08</v>
      </c>
      <c r="R61" s="183">
        <f>9*0.02*($P$9+$P$10)*'Costo HH'!$E$4</f>
        <v>1092.9375</v>
      </c>
      <c r="S61" s="64">
        <v>1</v>
      </c>
      <c r="T61" s="34">
        <f>9*0.1</f>
        <v>0.9</v>
      </c>
      <c r="U61" s="56">
        <f>9*0.05*($S$9)*'Costo HH'!$E$6</f>
        <v>169.59375</v>
      </c>
      <c r="V61" s="174"/>
      <c r="W61" s="174"/>
      <c r="X61" s="175"/>
      <c r="Y61" s="38">
        <v>1</v>
      </c>
      <c r="Z61" s="34">
        <v>0</v>
      </c>
      <c r="AA61" s="183">
        <f>9*0.12*($Y$10)*'Costo HH'!$E$6</f>
        <v>6783.75</v>
      </c>
      <c r="AB61" s="145"/>
      <c r="AC61" s="146"/>
      <c r="AD61" s="147"/>
      <c r="AE61" s="38">
        <v>3</v>
      </c>
      <c r="AF61" s="34">
        <v>32.4</v>
      </c>
      <c r="AG61" s="183">
        <f>9*3/2*($AE$10+$AE$9)*'Costo HH'!$E$6</f>
        <v>93276.5625</v>
      </c>
      <c r="AH61" s="145"/>
      <c r="AI61" s="146"/>
      <c r="AJ61" s="147"/>
      <c r="AK61" s="64">
        <v>0</v>
      </c>
      <c r="AL61" s="34">
        <v>0</v>
      </c>
      <c r="AM61" s="56">
        <f>AL61/9*($AK$10+$AK$9)*'Costo HH'!$E$6</f>
        <v>0</v>
      </c>
      <c r="AN61" s="64">
        <v>1</v>
      </c>
      <c r="AO61" s="34">
        <v>27</v>
      </c>
      <c r="AP61" s="56">
        <f>AO61/9*($AN$10+$AN$9)*'Costo HH'!$E$6</f>
        <v>76128.75</v>
      </c>
      <c r="AQ61" s="191"/>
      <c r="AR61" s="191"/>
      <c r="AS61" s="191"/>
      <c r="AU61" s="64">
        <f t="shared" si="0"/>
        <v>9</v>
      </c>
      <c r="AV61" s="34">
        <f t="shared" si="1"/>
        <v>70.38</v>
      </c>
      <c r="AW61" s="49">
        <f t="shared" si="2"/>
        <v>527945.34375</v>
      </c>
    </row>
    <row r="62" spans="1:49" x14ac:dyDescent="0.25">
      <c r="A62" s="218" t="s">
        <v>8</v>
      </c>
      <c r="B62" s="235" t="s">
        <v>47</v>
      </c>
      <c r="C62" s="30" t="s">
        <v>392</v>
      </c>
      <c r="D62" s="231"/>
      <c r="E62" s="149"/>
      <c r="F62" s="162"/>
      <c r="G62" s="148"/>
      <c r="H62" s="149"/>
      <c r="I62" s="147"/>
      <c r="J62" s="38">
        <v>2</v>
      </c>
      <c r="K62" s="38">
        <f>9*0.3</f>
        <v>2.6999999999999997</v>
      </c>
      <c r="L62" s="56">
        <f>9*0.2*($J$9+$J$10)*'Costo HH'!$E$4</f>
        <v>58415.625</v>
      </c>
      <c r="M62" s="64">
        <v>0</v>
      </c>
      <c r="N62" s="38">
        <v>0</v>
      </c>
      <c r="O62" s="58">
        <f>9*0*($M$10)*'Costo HH'!$E$8</f>
        <v>0</v>
      </c>
      <c r="P62" s="64">
        <v>0</v>
      </c>
      <c r="Q62" s="34">
        <f>9*0</f>
        <v>0</v>
      </c>
      <c r="R62" s="183">
        <f>9*0*($P$9+$P$10)*'Costo HH'!$E$4</f>
        <v>0</v>
      </c>
      <c r="S62" s="64">
        <v>3</v>
      </c>
      <c r="T62" s="34">
        <f>9*1</f>
        <v>9</v>
      </c>
      <c r="U62" s="56">
        <f>9*0.8*($S$9)*'Costo HH'!$E$6</f>
        <v>2713.5</v>
      </c>
      <c r="V62" s="174"/>
      <c r="W62" s="174"/>
      <c r="X62" s="175"/>
      <c r="Y62" s="38">
        <v>3</v>
      </c>
      <c r="Z62" s="34">
        <v>30.6</v>
      </c>
      <c r="AA62" s="183">
        <f>9*1.2*($Y$10)*'Costo HH'!$E$6</f>
        <v>67837.5</v>
      </c>
      <c r="AB62" s="145"/>
      <c r="AC62" s="146"/>
      <c r="AD62" s="147"/>
      <c r="AE62" s="38">
        <v>2</v>
      </c>
      <c r="AF62" s="34">
        <v>16.2</v>
      </c>
      <c r="AG62" s="183">
        <f>9*14/12*($AE$10+$AE$9)*'Costo HH'!$E$6</f>
        <v>72548.4375</v>
      </c>
      <c r="AH62" s="145"/>
      <c r="AI62" s="146"/>
      <c r="AJ62" s="147"/>
      <c r="AK62" s="64">
        <v>0</v>
      </c>
      <c r="AL62" s="34">
        <v>0</v>
      </c>
      <c r="AM62" s="56">
        <f>AL62/9*($AK$10+$AK$9)*'Costo HH'!$E$6</f>
        <v>0</v>
      </c>
      <c r="AN62" s="64">
        <v>1</v>
      </c>
      <c r="AO62" s="34">
        <v>18</v>
      </c>
      <c r="AP62" s="56">
        <f>AO62/9*($AN$10+$AN$9)*'Costo HH'!$E$6</f>
        <v>50752.5</v>
      </c>
      <c r="AQ62" s="191"/>
      <c r="AR62" s="191"/>
      <c r="AS62" s="191"/>
      <c r="AU62" s="64">
        <f t="shared" si="0"/>
        <v>11</v>
      </c>
      <c r="AV62" s="34">
        <f t="shared" si="1"/>
        <v>76.5</v>
      </c>
      <c r="AW62" s="49">
        <f t="shared" si="2"/>
        <v>252267.5625</v>
      </c>
    </row>
    <row r="63" spans="1:49" x14ac:dyDescent="0.25">
      <c r="A63" s="218" t="s">
        <v>8</v>
      </c>
      <c r="B63" s="235" t="s">
        <v>49</v>
      </c>
      <c r="C63" s="30" t="s">
        <v>50</v>
      </c>
      <c r="D63" s="231"/>
      <c r="E63" s="149"/>
      <c r="F63" s="162"/>
      <c r="G63" s="148"/>
      <c r="H63" s="149"/>
      <c r="I63" s="147"/>
      <c r="J63" s="38">
        <v>4</v>
      </c>
      <c r="K63" s="38">
        <f>9*5</f>
        <v>45</v>
      </c>
      <c r="L63" s="56">
        <f>9*0.35*($J$9+$J$10)*'Costo HH'!$E$4</f>
        <v>102227.34375</v>
      </c>
      <c r="M63" s="64">
        <v>1</v>
      </c>
      <c r="N63" s="38">
        <f>9*0.25</f>
        <v>2.25</v>
      </c>
      <c r="O63" s="58">
        <f>9*0.13*($M$10)*'Costo HH'!$E$8</f>
        <v>1273.8374999999999</v>
      </c>
      <c r="P63" s="64">
        <v>1</v>
      </c>
      <c r="Q63" s="34">
        <f>9*0.3</f>
        <v>2.6999999999999997</v>
      </c>
      <c r="R63" s="183">
        <f>9*0.36*($P$9+$P$10)*'Costo HH'!$E$4</f>
        <v>19672.875</v>
      </c>
      <c r="S63" s="64">
        <v>1</v>
      </c>
      <c r="T63" s="34">
        <f>9*0.45</f>
        <v>4.05</v>
      </c>
      <c r="U63" s="56">
        <f>9*0.2*($S$9)*'Costo HH'!$E$6</f>
        <v>678.375</v>
      </c>
      <c r="V63" s="174"/>
      <c r="W63" s="174"/>
      <c r="X63" s="175"/>
      <c r="Y63" s="38">
        <v>2</v>
      </c>
      <c r="Z63" s="34">
        <v>15.3</v>
      </c>
      <c r="AA63" s="183">
        <f>9*0.47*($Y$10)*'Costo HH'!$E$6</f>
        <v>26569.687499999996</v>
      </c>
      <c r="AB63" s="145"/>
      <c r="AC63" s="146"/>
      <c r="AD63" s="147"/>
      <c r="AE63" s="38">
        <v>0</v>
      </c>
      <c r="AF63" s="34">
        <v>0</v>
      </c>
      <c r="AG63" s="183">
        <f>9*0*($AE$10+$AE$9)*'Costo HH'!$E$6</f>
        <v>0</v>
      </c>
      <c r="AH63" s="145"/>
      <c r="AI63" s="146"/>
      <c r="AJ63" s="147"/>
      <c r="AK63" s="64">
        <v>1</v>
      </c>
      <c r="AL63" s="34">
        <v>6.3000000000000007</v>
      </c>
      <c r="AM63" s="56">
        <f>AL63/9*($AK$10+$AK$9)*'Costo HH'!$E$6</f>
        <v>7650.5625000000009</v>
      </c>
      <c r="AN63" s="64">
        <v>1</v>
      </c>
      <c r="AO63" s="34">
        <v>18</v>
      </c>
      <c r="AP63" s="56">
        <f>AO63/9*($AN$10+$AN$9)*'Costo HH'!$E$6</f>
        <v>50752.5</v>
      </c>
      <c r="AQ63" s="191"/>
      <c r="AR63" s="191"/>
      <c r="AS63" s="191"/>
      <c r="AU63" s="64">
        <f t="shared" si="0"/>
        <v>11</v>
      </c>
      <c r="AV63" s="34">
        <f t="shared" si="1"/>
        <v>93.6</v>
      </c>
      <c r="AW63" s="49">
        <f t="shared" si="2"/>
        <v>208825.18124999999</v>
      </c>
    </row>
    <row r="64" spans="1:49" x14ac:dyDescent="0.25">
      <c r="A64" s="218" t="s">
        <v>8</v>
      </c>
      <c r="B64" s="235" t="s">
        <v>49</v>
      </c>
      <c r="C64" s="30" t="s">
        <v>51</v>
      </c>
      <c r="D64" s="231"/>
      <c r="E64" s="149"/>
      <c r="F64" s="162"/>
      <c r="G64" s="148"/>
      <c r="H64" s="149"/>
      <c r="I64" s="147"/>
      <c r="J64" s="38">
        <v>0</v>
      </c>
      <c r="K64" s="38">
        <v>0</v>
      </c>
      <c r="L64" s="56">
        <f>9*0*($J$9+$J$10)*'Costo HH'!$E$4</f>
        <v>0</v>
      </c>
      <c r="M64" s="64">
        <v>0</v>
      </c>
      <c r="N64" s="38">
        <v>0</v>
      </c>
      <c r="O64" s="58">
        <v>0</v>
      </c>
      <c r="P64" s="64">
        <v>0</v>
      </c>
      <c r="Q64" s="34">
        <f>9*0</f>
        <v>0</v>
      </c>
      <c r="R64" s="183">
        <f>9*0*($P$9+$P$10)*'Costo HH'!$E$4</f>
        <v>0</v>
      </c>
      <c r="S64" s="64">
        <v>0</v>
      </c>
      <c r="T64" s="34">
        <f>9*0</f>
        <v>0</v>
      </c>
      <c r="U64" s="56">
        <f>9*0*($S$9)*'Costo HH'!$E$6</f>
        <v>0</v>
      </c>
      <c r="V64" s="174"/>
      <c r="W64" s="174"/>
      <c r="X64" s="175"/>
      <c r="Y64" s="38">
        <v>0</v>
      </c>
      <c r="Z64" s="34">
        <v>0</v>
      </c>
      <c r="AA64" s="183">
        <f>9*0*($Y$10)*'Costo HH'!$E$6</f>
        <v>0</v>
      </c>
      <c r="AB64" s="145"/>
      <c r="AC64" s="146"/>
      <c r="AD64" s="147"/>
      <c r="AE64" s="38">
        <v>1</v>
      </c>
      <c r="AF64" s="34">
        <v>16.2</v>
      </c>
      <c r="AG64" s="183">
        <f>9*3/2*($AE$10+$AE$9)*'Costo HH'!$E$6</f>
        <v>93276.5625</v>
      </c>
      <c r="AH64" s="145"/>
      <c r="AI64" s="146"/>
      <c r="AJ64" s="147"/>
      <c r="AK64" s="64">
        <v>0</v>
      </c>
      <c r="AL64" s="34">
        <v>0</v>
      </c>
      <c r="AM64" s="56">
        <f>AL64/9*($AK$10+$AK$9)*'Costo HH'!$E$6</f>
        <v>0</v>
      </c>
      <c r="AN64" s="64">
        <v>0</v>
      </c>
      <c r="AO64" s="34">
        <v>0</v>
      </c>
      <c r="AP64" s="56">
        <f>AO64/9*($AN$10+$AN$9)*'Costo HH'!$E$6</f>
        <v>0</v>
      </c>
      <c r="AQ64" s="191"/>
      <c r="AR64" s="191"/>
      <c r="AS64" s="191"/>
      <c r="AU64" s="64">
        <f t="shared" si="0"/>
        <v>1</v>
      </c>
      <c r="AV64" s="34">
        <f t="shared" si="1"/>
        <v>16.2</v>
      </c>
      <c r="AW64" s="49">
        <f t="shared" si="2"/>
        <v>93276.5625</v>
      </c>
    </row>
    <row r="65" spans="1:49" x14ac:dyDescent="0.25">
      <c r="A65" s="218" t="s">
        <v>8</v>
      </c>
      <c r="B65" s="235" t="s">
        <v>49</v>
      </c>
      <c r="C65" s="30" t="s">
        <v>52</v>
      </c>
      <c r="D65" s="231"/>
      <c r="E65" s="149"/>
      <c r="F65" s="162"/>
      <c r="G65" s="148"/>
      <c r="H65" s="149"/>
      <c r="I65" s="147"/>
      <c r="J65" s="38">
        <v>0</v>
      </c>
      <c r="K65" s="38">
        <v>0</v>
      </c>
      <c r="L65" s="56">
        <f>9*0*($J$9+$J$10)*'Costo HH'!$E$4</f>
        <v>0</v>
      </c>
      <c r="M65" s="64">
        <v>0</v>
      </c>
      <c r="N65" s="38">
        <v>0</v>
      </c>
      <c r="O65" s="58">
        <f>9*0*($M$10)*'Costo HH'!$E$8</f>
        <v>0</v>
      </c>
      <c r="P65" s="64">
        <v>0</v>
      </c>
      <c r="Q65" s="34">
        <f>9*0</f>
        <v>0</v>
      </c>
      <c r="R65" s="183">
        <f>9*0*($P$9+$P$10)*'Costo HH'!$E$4</f>
        <v>0</v>
      </c>
      <c r="S65" s="64">
        <v>0</v>
      </c>
      <c r="T65" s="34">
        <f>9*0</f>
        <v>0</v>
      </c>
      <c r="U65" s="56">
        <f>9*0*($S$9)*'Costo HH'!$E$6</f>
        <v>0</v>
      </c>
      <c r="V65" s="174"/>
      <c r="W65" s="174"/>
      <c r="X65" s="175"/>
      <c r="Y65" s="38">
        <v>0</v>
      </c>
      <c r="Z65" s="34">
        <v>0</v>
      </c>
      <c r="AA65" s="183">
        <f>9*0*($Y$10)*'Costo HH'!$E$6</f>
        <v>0</v>
      </c>
      <c r="AB65" s="145"/>
      <c r="AC65" s="146"/>
      <c r="AD65" s="147"/>
      <c r="AE65" s="38">
        <v>1</v>
      </c>
      <c r="AF65" s="34">
        <v>16</v>
      </c>
      <c r="AG65" s="183">
        <f>9*16/12*($AE$10+$AE$9)*'Costo HH'!$E$6</f>
        <v>82912.5</v>
      </c>
      <c r="AH65" s="145"/>
      <c r="AI65" s="146"/>
      <c r="AJ65" s="147"/>
      <c r="AK65" s="64">
        <v>0</v>
      </c>
      <c r="AL65" s="34">
        <v>0</v>
      </c>
      <c r="AM65" s="56">
        <f>AL65/9*($AK$10+$AK$9)*'Costo HH'!$E$6</f>
        <v>0</v>
      </c>
      <c r="AN65" s="64">
        <v>0</v>
      </c>
      <c r="AO65" s="34">
        <v>0</v>
      </c>
      <c r="AP65" s="56">
        <f>AO65/9*($AN$10+$AN$9)*'Costo HH'!$E$6</f>
        <v>0</v>
      </c>
      <c r="AQ65" s="191"/>
      <c r="AR65" s="191"/>
      <c r="AS65" s="191"/>
      <c r="AU65" s="64">
        <f t="shared" si="0"/>
        <v>1</v>
      </c>
      <c r="AV65" s="34">
        <f t="shared" si="1"/>
        <v>16</v>
      </c>
      <c r="AW65" s="49">
        <f t="shared" si="2"/>
        <v>82912.5</v>
      </c>
    </row>
    <row r="66" spans="1:49" x14ac:dyDescent="0.25">
      <c r="A66" s="218" t="s">
        <v>8</v>
      </c>
      <c r="B66" s="235" t="s">
        <v>53</v>
      </c>
      <c r="C66" s="30" t="s">
        <v>576</v>
      </c>
      <c r="D66" s="231"/>
      <c r="E66" s="149"/>
      <c r="F66" s="162"/>
      <c r="G66" s="148"/>
      <c r="H66" s="149"/>
      <c r="I66" s="147"/>
      <c r="J66" s="38">
        <v>10</v>
      </c>
      <c r="K66" s="38">
        <f>9*4</f>
        <v>36</v>
      </c>
      <c r="L66" s="56">
        <f>9*1.6*($J$9+$J$10)*'Costo HH'!$E$4</f>
        <v>467325</v>
      </c>
      <c r="M66" s="64">
        <v>1</v>
      </c>
      <c r="N66" s="38">
        <f>9*0.6</f>
        <v>5.3999999999999995</v>
      </c>
      <c r="O66" s="58">
        <f>9*0.3*($M$10)*'Costo HH'!$E$8</f>
        <v>2939.6249999999995</v>
      </c>
      <c r="P66" s="64">
        <v>2</v>
      </c>
      <c r="Q66" s="34">
        <f>9*1</f>
        <v>9</v>
      </c>
      <c r="R66" s="183">
        <f>9*0.06*($P$9+$P$10)*'Costo HH'!$E$4</f>
        <v>3278.8125</v>
      </c>
      <c r="S66" s="64">
        <v>2</v>
      </c>
      <c r="T66" s="34">
        <f>9*1.3</f>
        <v>11.700000000000001</v>
      </c>
      <c r="U66" s="56">
        <f>9*1*($S$9)*'Costo HH'!$E$6</f>
        <v>3391.875</v>
      </c>
      <c r="V66" s="174"/>
      <c r="W66" s="174"/>
      <c r="X66" s="175"/>
      <c r="Y66" s="38">
        <v>3</v>
      </c>
      <c r="Z66" s="34">
        <v>30.6</v>
      </c>
      <c r="AA66" s="183">
        <f>9*0.98*($Y$10)*'Costo HH'!$E$6</f>
        <v>55400.625</v>
      </c>
      <c r="AB66" s="145"/>
      <c r="AC66" s="146"/>
      <c r="AD66" s="147"/>
      <c r="AE66" s="38">
        <v>3</v>
      </c>
      <c r="AF66" s="34">
        <v>45</v>
      </c>
      <c r="AG66" s="183">
        <f>9*45/12*($AE$10+$AE$9)*'Costo HH'!$E$6</f>
        <v>233191.40625</v>
      </c>
      <c r="AH66" s="145"/>
      <c r="AI66" s="146"/>
      <c r="AJ66" s="147"/>
      <c r="AK66" s="64">
        <v>1</v>
      </c>
      <c r="AL66" s="34">
        <v>12.600000000000001</v>
      </c>
      <c r="AM66" s="56">
        <f>AL66/9*($AK$10+$AK$9)*'Costo HH'!$E$6</f>
        <v>15301.125000000002</v>
      </c>
      <c r="AN66" s="64">
        <v>0</v>
      </c>
      <c r="AO66" s="34">
        <v>0</v>
      </c>
      <c r="AP66" s="56">
        <f>AO66/9*($AN$10+$AN$9)*'Costo HH'!$E$6</f>
        <v>0</v>
      </c>
      <c r="AQ66" s="191"/>
      <c r="AR66" s="191"/>
      <c r="AS66" s="191"/>
      <c r="AU66" s="64">
        <f t="shared" si="0"/>
        <v>22</v>
      </c>
      <c r="AV66" s="34">
        <f t="shared" si="1"/>
        <v>150.29999999999998</v>
      </c>
      <c r="AW66" s="49">
        <f t="shared" si="2"/>
        <v>780828.46875</v>
      </c>
    </row>
    <row r="67" spans="1:49" x14ac:dyDescent="0.25">
      <c r="A67" s="218" t="s">
        <v>8</v>
      </c>
      <c r="B67" s="235" t="s">
        <v>53</v>
      </c>
      <c r="C67" s="30" t="s">
        <v>383</v>
      </c>
      <c r="D67" s="231"/>
      <c r="E67" s="149"/>
      <c r="F67" s="162"/>
      <c r="G67" s="148"/>
      <c r="H67" s="149"/>
      <c r="I67" s="147"/>
      <c r="J67" s="38">
        <v>3</v>
      </c>
      <c r="K67" s="38">
        <f>9*1</f>
        <v>9</v>
      </c>
      <c r="L67" s="56">
        <f>9*0.2*($J$9+$J$10)*'Costo HH'!$E$4</f>
        <v>58415.625</v>
      </c>
      <c r="M67" s="64">
        <v>0</v>
      </c>
      <c r="N67" s="38">
        <v>0</v>
      </c>
      <c r="O67" s="58">
        <f>9*0*($M$10)*'Costo HH'!$E$8</f>
        <v>0</v>
      </c>
      <c r="P67" s="64">
        <v>1</v>
      </c>
      <c r="Q67" s="34">
        <f>9*0.3</f>
        <v>2.6999999999999997</v>
      </c>
      <c r="R67" s="183">
        <f>9*0.08*($P$9+$P$10)*'Costo HH'!$E$4</f>
        <v>4371.75</v>
      </c>
      <c r="S67" s="64">
        <v>1</v>
      </c>
      <c r="T67" s="34">
        <f>9*0.3</f>
        <v>2.6999999999999997</v>
      </c>
      <c r="U67" s="56">
        <f>9*0.5*($S$9)*'Costo HH'!$E$6</f>
        <v>1695.9375</v>
      </c>
      <c r="V67" s="174"/>
      <c r="W67" s="174"/>
      <c r="X67" s="175"/>
      <c r="Y67" s="38">
        <v>1</v>
      </c>
      <c r="Z67" s="34">
        <v>15.3</v>
      </c>
      <c r="AA67" s="183">
        <f>9*0.53*($Y$10)*'Costo HH'!$E$6</f>
        <v>29961.562500000004</v>
      </c>
      <c r="AB67" s="145"/>
      <c r="AC67" s="146"/>
      <c r="AD67" s="147"/>
      <c r="AE67" s="38">
        <v>1</v>
      </c>
      <c r="AF67" s="34">
        <v>16.2</v>
      </c>
      <c r="AG67" s="183">
        <f>9*16/12*($AE$10+$AE$9)*'Costo HH'!$E$6</f>
        <v>82912.5</v>
      </c>
      <c r="AH67" s="145"/>
      <c r="AI67" s="146"/>
      <c r="AJ67" s="147"/>
      <c r="AK67" s="64">
        <v>1</v>
      </c>
      <c r="AL67" s="34">
        <v>12.600000000000001</v>
      </c>
      <c r="AM67" s="56">
        <f>AL67/9*($AK$10+$AK$9)*'Costo HH'!$E$6</f>
        <v>15301.125000000002</v>
      </c>
      <c r="AN67" s="64">
        <v>2</v>
      </c>
      <c r="AO67" s="34">
        <v>36</v>
      </c>
      <c r="AP67" s="56">
        <f>AO67/9*($AN$10+$AN$9)*'Costo HH'!$E$6</f>
        <v>101505</v>
      </c>
      <c r="AQ67" s="191"/>
      <c r="AR67" s="191"/>
      <c r="AS67" s="191"/>
      <c r="AU67" s="64">
        <f t="shared" si="0"/>
        <v>10</v>
      </c>
      <c r="AV67" s="34">
        <f t="shared" si="1"/>
        <v>94.5</v>
      </c>
      <c r="AW67" s="49">
        <f t="shared" si="2"/>
        <v>294163.5</v>
      </c>
    </row>
    <row r="68" spans="1:49" x14ac:dyDescent="0.25">
      <c r="A68" s="218" t="s">
        <v>8</v>
      </c>
      <c r="B68" s="235" t="s">
        <v>53</v>
      </c>
      <c r="C68" s="30" t="s">
        <v>384</v>
      </c>
      <c r="D68" s="231"/>
      <c r="E68" s="149"/>
      <c r="F68" s="162"/>
      <c r="G68" s="148"/>
      <c r="H68" s="149"/>
      <c r="I68" s="147"/>
      <c r="J68" s="38">
        <v>5</v>
      </c>
      <c r="K68" s="38">
        <f>9*2</f>
        <v>18</v>
      </c>
      <c r="L68" s="56">
        <f>9*0.1*($J$9+$J$10)*'Costo HH'!$E$4</f>
        <v>29207.8125</v>
      </c>
      <c r="M68" s="64">
        <v>1</v>
      </c>
      <c r="N68" s="38">
        <f>9*0.3</f>
        <v>2.6999999999999997</v>
      </c>
      <c r="O68" s="58">
        <f>9*0.17*($M$10)*'Costo HH'!$E$8</f>
        <v>1665.7875000000001</v>
      </c>
      <c r="P68" s="64">
        <v>0</v>
      </c>
      <c r="Q68" s="34">
        <f>9*0</f>
        <v>0</v>
      </c>
      <c r="R68" s="183">
        <f>9*0*($P$9+$P$10)*'Costo HH'!$E$4</f>
        <v>0</v>
      </c>
      <c r="S68" s="64">
        <v>3</v>
      </c>
      <c r="T68" s="34">
        <f>9*0.4</f>
        <v>3.6</v>
      </c>
      <c r="U68" s="56">
        <f>9*0.13*($S$9)*'Costo HH'!$E$6</f>
        <v>440.94374999999997</v>
      </c>
      <c r="V68" s="174"/>
      <c r="W68" s="174"/>
      <c r="X68" s="175"/>
      <c r="Y68" s="38">
        <v>2</v>
      </c>
      <c r="Z68" s="34">
        <v>15.3</v>
      </c>
      <c r="AA68" s="183">
        <f>9*0.46*($Y$10)*'Costo HH'!$E$6</f>
        <v>26004.375000000004</v>
      </c>
      <c r="AB68" s="145"/>
      <c r="AC68" s="146"/>
      <c r="AD68" s="147"/>
      <c r="AE68" s="38">
        <v>2</v>
      </c>
      <c r="AF68" s="34">
        <v>64.8</v>
      </c>
      <c r="AG68" s="183">
        <f>9*65/12*($AE$10+$AE$9)*'Costo HH'!$E$6</f>
        <v>336832.03125</v>
      </c>
      <c r="AH68" s="145"/>
      <c r="AI68" s="146"/>
      <c r="AJ68" s="147"/>
      <c r="AK68" s="64">
        <v>0</v>
      </c>
      <c r="AL68" s="34">
        <v>0</v>
      </c>
      <c r="AM68" s="56">
        <f>AL68/9*($AK$10+$AK$9)*'Costo HH'!$E$6</f>
        <v>0</v>
      </c>
      <c r="AN68" s="64">
        <v>1</v>
      </c>
      <c r="AO68" s="34">
        <v>18</v>
      </c>
      <c r="AP68" s="56">
        <f>AO68/9*($AN$10+$AN$9)*'Costo HH'!$E$6</f>
        <v>50752.5</v>
      </c>
      <c r="AQ68" s="191"/>
      <c r="AR68" s="191"/>
      <c r="AS68" s="191"/>
      <c r="AU68" s="64">
        <f t="shared" si="0"/>
        <v>14</v>
      </c>
      <c r="AV68" s="34">
        <f t="shared" si="1"/>
        <v>122.4</v>
      </c>
      <c r="AW68" s="49">
        <f t="shared" si="2"/>
        <v>444903.45</v>
      </c>
    </row>
    <row r="69" spans="1:49" x14ac:dyDescent="0.25">
      <c r="A69" s="218" t="s">
        <v>8</v>
      </c>
      <c r="B69" s="235" t="s">
        <v>53</v>
      </c>
      <c r="C69" s="30" t="s">
        <v>577</v>
      </c>
      <c r="D69" s="231"/>
      <c r="E69" s="149"/>
      <c r="F69" s="162"/>
      <c r="G69" s="148"/>
      <c r="H69" s="149"/>
      <c r="I69" s="147"/>
      <c r="J69" s="38">
        <v>10</v>
      </c>
      <c r="K69" s="38">
        <f>9*5</f>
        <v>45</v>
      </c>
      <c r="L69" s="56">
        <f>9*1.2*($J$9+$J$10)*'Costo HH'!$E$4</f>
        <v>350493.74999999994</v>
      </c>
      <c r="M69" s="64">
        <v>3</v>
      </c>
      <c r="N69" s="38">
        <f>9*0.3</f>
        <v>2.6999999999999997</v>
      </c>
      <c r="O69" s="58">
        <f>9*0.53*($M$10)*'Costo HH'!$E$8</f>
        <v>5193.3375000000005</v>
      </c>
      <c r="P69" s="64">
        <v>3</v>
      </c>
      <c r="Q69" s="34">
        <f>9*1.5</f>
        <v>13.5</v>
      </c>
      <c r="R69" s="183">
        <f>9*0.6*($P$9+$P$10)*'Costo HH'!$E$4</f>
        <v>32788.125</v>
      </c>
      <c r="S69" s="64">
        <v>2</v>
      </c>
      <c r="T69" s="34">
        <f>9*1</f>
        <v>9</v>
      </c>
      <c r="U69" s="56">
        <f>9*1.13*($S$9)*'Costo HH'!$E$6</f>
        <v>3832.8187499999995</v>
      </c>
      <c r="V69" s="174"/>
      <c r="W69" s="174"/>
      <c r="X69" s="175"/>
      <c r="Y69" s="38">
        <v>3</v>
      </c>
      <c r="Z69" s="34">
        <v>15.3</v>
      </c>
      <c r="AA69" s="183">
        <f>9*0.49*($Y$10)*'Costo HH'!$E$6</f>
        <v>27700.3125</v>
      </c>
      <c r="AB69" s="145"/>
      <c r="AC69" s="146"/>
      <c r="AD69" s="147"/>
      <c r="AE69" s="38">
        <v>1</v>
      </c>
      <c r="AF69" s="34">
        <v>16.2</v>
      </c>
      <c r="AG69" s="183">
        <f>9*16/12*($AE$10+$AE$9)*'Costo HH'!$E$6</f>
        <v>82912.5</v>
      </c>
      <c r="AH69" s="145"/>
      <c r="AI69" s="146"/>
      <c r="AJ69" s="147"/>
      <c r="AK69" s="64">
        <v>0</v>
      </c>
      <c r="AL69" s="34">
        <v>0</v>
      </c>
      <c r="AM69" s="56">
        <f>AL69/9*($AK$10+$AK$9)*'Costo HH'!$E$6</f>
        <v>0</v>
      </c>
      <c r="AN69" s="64">
        <v>0</v>
      </c>
      <c r="AO69" s="34">
        <v>0</v>
      </c>
      <c r="AP69" s="56">
        <f>AO69/9*($AN$10+$AN$9)*'Costo HH'!$E$6</f>
        <v>0</v>
      </c>
      <c r="AQ69" s="191"/>
      <c r="AR69" s="191"/>
      <c r="AS69" s="191"/>
      <c r="AU69" s="64">
        <f t="shared" si="0"/>
        <v>22</v>
      </c>
      <c r="AV69" s="34">
        <f t="shared" si="1"/>
        <v>101.7</v>
      </c>
      <c r="AW69" s="49">
        <f t="shared" si="2"/>
        <v>502920.84374999994</v>
      </c>
    </row>
    <row r="70" spans="1:49" x14ac:dyDescent="0.25">
      <c r="A70" s="218" t="s">
        <v>8</v>
      </c>
      <c r="B70" s="235" t="s">
        <v>54</v>
      </c>
      <c r="C70" s="30" t="s">
        <v>55</v>
      </c>
      <c r="D70" s="231"/>
      <c r="E70" s="149"/>
      <c r="F70" s="162"/>
      <c r="G70" s="148"/>
      <c r="H70" s="149"/>
      <c r="I70" s="147"/>
      <c r="J70" s="38">
        <v>3</v>
      </c>
      <c r="K70" s="38">
        <f>9*2</f>
        <v>18</v>
      </c>
      <c r="L70" s="56">
        <f>9*2.1*($J$9+$J$10)*'Costo HH'!$E$4</f>
        <v>613364.06250000012</v>
      </c>
      <c r="M70" s="64">
        <v>1</v>
      </c>
      <c r="N70" s="38">
        <f>9*0.2</f>
        <v>1.8</v>
      </c>
      <c r="O70" s="58">
        <f>9*0.06*($M$10)*'Costo HH'!$E$8</f>
        <v>587.92500000000007</v>
      </c>
      <c r="P70" s="64">
        <v>1</v>
      </c>
      <c r="Q70" s="34">
        <f>9*0.7</f>
        <v>6.3</v>
      </c>
      <c r="R70" s="183">
        <f>9*0.02*($P$9+$P$10)*'Costo HH'!$E$4</f>
        <v>1092.9375</v>
      </c>
      <c r="S70" s="64">
        <v>1</v>
      </c>
      <c r="T70" s="34">
        <f>9*0.9</f>
        <v>8.1</v>
      </c>
      <c r="U70" s="56">
        <f>9*0.11*($S$9)*'Costo HH'!$E$6</f>
        <v>373.10624999999999</v>
      </c>
      <c r="V70" s="174"/>
      <c r="W70" s="174"/>
      <c r="X70" s="175"/>
      <c r="Y70" s="38">
        <v>1</v>
      </c>
      <c r="Z70" s="34">
        <v>15.3</v>
      </c>
      <c r="AA70" s="183">
        <f>9*0.52*($Y$10)*'Costo HH'!$E$6</f>
        <v>29396.25</v>
      </c>
      <c r="AB70" s="145"/>
      <c r="AC70" s="146"/>
      <c r="AD70" s="147"/>
      <c r="AE70" s="38">
        <v>2</v>
      </c>
      <c r="AF70" s="34">
        <v>48.6</v>
      </c>
      <c r="AG70" s="183">
        <f>9*49/12*($AE$10+$AE$9)*'Costo HH'!$E$6</f>
        <v>253919.53125</v>
      </c>
      <c r="AH70" s="145"/>
      <c r="AI70" s="146"/>
      <c r="AJ70" s="147"/>
      <c r="AK70" s="64">
        <v>0</v>
      </c>
      <c r="AL70" s="34">
        <v>0</v>
      </c>
      <c r="AM70" s="56">
        <f>AL70/9*($AK$10+$AK$9)*'Costo HH'!$E$6</f>
        <v>0</v>
      </c>
      <c r="AN70" s="64">
        <v>2</v>
      </c>
      <c r="AO70" s="34">
        <v>54</v>
      </c>
      <c r="AP70" s="56">
        <f>AO70/9*($AN$10+$AN$9)*'Costo HH'!$E$6</f>
        <v>152257.5</v>
      </c>
      <c r="AQ70" s="191"/>
      <c r="AR70" s="191"/>
      <c r="AS70" s="191"/>
      <c r="AU70" s="64">
        <f t="shared" si="0"/>
        <v>11</v>
      </c>
      <c r="AV70" s="34">
        <f t="shared" si="1"/>
        <v>152.1</v>
      </c>
      <c r="AW70" s="49">
        <f t="shared" si="2"/>
        <v>1050991.3125</v>
      </c>
    </row>
    <row r="71" spans="1:49" x14ac:dyDescent="0.25">
      <c r="A71" s="218" t="s">
        <v>8</v>
      </c>
      <c r="B71" s="235" t="s">
        <v>54</v>
      </c>
      <c r="C71" s="30" t="s">
        <v>56</v>
      </c>
      <c r="D71" s="231"/>
      <c r="E71" s="149"/>
      <c r="F71" s="162"/>
      <c r="G71" s="148"/>
      <c r="H71" s="149"/>
      <c r="I71" s="147"/>
      <c r="J71" s="38">
        <v>20</v>
      </c>
      <c r="K71" s="38">
        <f>9*7</f>
        <v>63</v>
      </c>
      <c r="L71" s="56">
        <f>9*1.8*($J$9+$J$10)*'Costo HH'!$E$4</f>
        <v>525740.625</v>
      </c>
      <c r="M71" s="64">
        <v>1</v>
      </c>
      <c r="N71" s="38">
        <f>9*0.5</f>
        <v>4.5</v>
      </c>
      <c r="O71" s="58">
        <f>9*0.4*($M$10)*'Costo HH'!$E$8</f>
        <v>3919.5000000000005</v>
      </c>
      <c r="P71" s="64">
        <v>12</v>
      </c>
      <c r="Q71" s="34">
        <f>9*2.9</f>
        <v>26.099999999999998</v>
      </c>
      <c r="R71" s="183">
        <f>9*0.9*($P$9+$P$10)*'Costo HH'!$E$4</f>
        <v>49182.187499999993</v>
      </c>
      <c r="S71" s="64">
        <v>3</v>
      </c>
      <c r="T71" s="34">
        <f>9*1.5</f>
        <v>13.5</v>
      </c>
      <c r="U71" s="56">
        <f>9*2.15*($S$9)*'Costo HH'!$E$6</f>
        <v>7292.53125</v>
      </c>
      <c r="V71" s="174"/>
      <c r="W71" s="174"/>
      <c r="X71" s="175"/>
      <c r="Y71" s="38">
        <v>7</v>
      </c>
      <c r="Z71" s="34">
        <v>30.6</v>
      </c>
      <c r="AA71" s="183">
        <f>9*1.15*($Y$10)*'Costo HH'!$E$6</f>
        <v>65010.9375</v>
      </c>
      <c r="AB71" s="145"/>
      <c r="AC71" s="146"/>
      <c r="AD71" s="147"/>
      <c r="AE71" s="38">
        <v>2</v>
      </c>
      <c r="AF71" s="34">
        <v>16.2</v>
      </c>
      <c r="AG71" s="183">
        <f>9*17/12*($AE$10+$AE$9)*'Costo HH'!$E$6</f>
        <v>88094.53125</v>
      </c>
      <c r="AH71" s="145"/>
      <c r="AI71" s="146"/>
      <c r="AJ71" s="147"/>
      <c r="AK71" s="64">
        <v>1</v>
      </c>
      <c r="AL71" s="34">
        <v>12.600000000000001</v>
      </c>
      <c r="AM71" s="56">
        <f>AL71/9*($AK$10+$AK$9)*'Costo HH'!$E$6</f>
        <v>15301.125000000002</v>
      </c>
      <c r="AN71" s="64">
        <v>1</v>
      </c>
      <c r="AO71" s="34">
        <v>36</v>
      </c>
      <c r="AP71" s="56">
        <f>AO71/9*($AN$10+$AN$9)*'Costo HH'!$E$6</f>
        <v>101505</v>
      </c>
      <c r="AQ71" s="191"/>
      <c r="AR71" s="191"/>
      <c r="AS71" s="191"/>
      <c r="AU71" s="64">
        <f t="shared" si="0"/>
        <v>47</v>
      </c>
      <c r="AV71" s="34">
        <f t="shared" si="1"/>
        <v>202.49999999999997</v>
      </c>
      <c r="AW71" s="49">
        <f t="shared" si="2"/>
        <v>856046.4375</v>
      </c>
    </row>
    <row r="72" spans="1:49" ht="15.75" thickBot="1" x14ac:dyDescent="0.3">
      <c r="A72" s="219" t="s">
        <v>8</v>
      </c>
      <c r="B72" s="239" t="s">
        <v>54</v>
      </c>
      <c r="C72" s="132" t="s">
        <v>57</v>
      </c>
      <c r="D72" s="240"/>
      <c r="E72" s="168"/>
      <c r="F72" s="169"/>
      <c r="G72" s="167"/>
      <c r="H72" s="168"/>
      <c r="I72" s="155"/>
      <c r="J72" s="51">
        <v>10</v>
      </c>
      <c r="K72" s="51">
        <f>9*1</f>
        <v>9</v>
      </c>
      <c r="L72" s="56">
        <f>9*1.95*($J$9+$J$10)*'Costo HH'!$E$4</f>
        <v>569552.34375</v>
      </c>
      <c r="M72" s="65">
        <v>1</v>
      </c>
      <c r="N72" s="51">
        <f>9*0.4</f>
        <v>3.6</v>
      </c>
      <c r="O72" s="96">
        <f>9*0.45*($M$10)*'Costo HH'!$E$8</f>
        <v>4409.4375</v>
      </c>
      <c r="P72" s="65">
        <v>3</v>
      </c>
      <c r="Q72" s="34">
        <f>9*2.6</f>
        <v>23.400000000000002</v>
      </c>
      <c r="R72" s="183">
        <f>9*0.2*($P$9+$P$10)*'Costo HH'!$E$4</f>
        <v>10929.375</v>
      </c>
      <c r="S72" s="65">
        <v>2</v>
      </c>
      <c r="T72" s="52">
        <f>9*0.5</f>
        <v>4.5</v>
      </c>
      <c r="U72" s="57">
        <f>9*0.25*($S$9)*'Costo HH'!$E$6</f>
        <v>847.96875</v>
      </c>
      <c r="V72" s="177"/>
      <c r="W72" s="177"/>
      <c r="X72" s="178"/>
      <c r="Y72" s="51">
        <v>3</v>
      </c>
      <c r="Z72" s="52">
        <v>15.3</v>
      </c>
      <c r="AA72" s="184">
        <f>9*1.25*($Y$10)*'Costo HH'!$E$6</f>
        <v>70664.0625</v>
      </c>
      <c r="AB72" s="153"/>
      <c r="AC72" s="154"/>
      <c r="AD72" s="155"/>
      <c r="AE72" s="51">
        <v>2</v>
      </c>
      <c r="AF72" s="52">
        <v>16.2</v>
      </c>
      <c r="AG72" s="184">
        <f>9*16/12*($AE$10+AE9)*'Costo HH'!$E$6</f>
        <v>82912.5</v>
      </c>
      <c r="AH72" s="153"/>
      <c r="AI72" s="154"/>
      <c r="AJ72" s="155"/>
      <c r="AK72" s="65">
        <v>1</v>
      </c>
      <c r="AL72" s="52">
        <v>6.3000000000000007</v>
      </c>
      <c r="AM72" s="57">
        <f>AL72/9*($AK$10+$AK$9)*'Costo HH'!$E$6</f>
        <v>7650.5625000000009</v>
      </c>
      <c r="AN72" s="65">
        <v>1</v>
      </c>
      <c r="AO72" s="52">
        <v>9</v>
      </c>
      <c r="AP72" s="57">
        <f>AO72/9*($AN$10+$AN$9)*'Costo HH'!$E$6</f>
        <v>25376.25</v>
      </c>
      <c r="AQ72" s="191"/>
      <c r="AR72" s="191"/>
      <c r="AS72" s="191"/>
      <c r="AU72" s="65">
        <f t="shared" si="0"/>
        <v>23</v>
      </c>
      <c r="AV72" s="52">
        <f t="shared" si="1"/>
        <v>87.3</v>
      </c>
      <c r="AW72" s="53">
        <f t="shared" si="2"/>
        <v>772342.5</v>
      </c>
    </row>
    <row r="73" spans="1:49" ht="15.75" thickBot="1" x14ac:dyDescent="0.3">
      <c r="D73" s="33"/>
      <c r="E73" s="33"/>
      <c r="F73" s="33"/>
      <c r="Z73" s="70"/>
      <c r="AC73" s="70"/>
    </row>
    <row r="74" spans="1:49" ht="15.75" thickBot="1" x14ac:dyDescent="0.3">
      <c r="C74" s="85" t="s">
        <v>369</v>
      </c>
      <c r="D74" s="86">
        <f>+SUM(D14:D72)</f>
        <v>19</v>
      </c>
      <c r="E74" s="83">
        <f t="shared" ref="E74:AS74" si="3">+SUM(E14:E72)</f>
        <v>355.5</v>
      </c>
      <c r="F74" s="84">
        <f t="shared" si="3"/>
        <v>329011.875</v>
      </c>
      <c r="G74" s="83">
        <f t="shared" si="3"/>
        <v>18</v>
      </c>
      <c r="H74" s="83">
        <f t="shared" si="3"/>
        <v>216</v>
      </c>
      <c r="I74" s="84">
        <f t="shared" si="3"/>
        <v>601869.375</v>
      </c>
      <c r="J74" s="83">
        <f t="shared" si="3"/>
        <v>299</v>
      </c>
      <c r="K74" s="83">
        <f t="shared" si="3"/>
        <v>754.47</v>
      </c>
      <c r="L74" s="84">
        <f t="shared" si="3"/>
        <v>13305854.53125</v>
      </c>
      <c r="M74" s="83">
        <f t="shared" si="3"/>
        <v>55</v>
      </c>
      <c r="N74" s="83">
        <f t="shared" si="3"/>
        <v>250.37999999999997</v>
      </c>
      <c r="O74" s="84">
        <f t="shared" si="3"/>
        <v>218557.35</v>
      </c>
      <c r="P74" s="83">
        <f t="shared" si="3"/>
        <v>131</v>
      </c>
      <c r="Q74" s="83">
        <f t="shared" si="3"/>
        <v>570.78</v>
      </c>
      <c r="R74" s="84">
        <f t="shared" si="3"/>
        <v>896039.15625</v>
      </c>
      <c r="S74" s="86">
        <f>+SUM(S14:S72)</f>
        <v>72</v>
      </c>
      <c r="T74" s="83">
        <f t="shared" si="3"/>
        <v>415.98000000000008</v>
      </c>
      <c r="U74" s="84">
        <f t="shared" si="3"/>
        <v>90020.362500000003</v>
      </c>
      <c r="V74" s="86">
        <f>+SUM(V14:V72)</f>
        <v>5</v>
      </c>
      <c r="W74" s="83">
        <f t="shared" si="3"/>
        <v>157.5</v>
      </c>
      <c r="X74" s="84">
        <f t="shared" si="3"/>
        <v>24534.5625</v>
      </c>
      <c r="Y74" s="86">
        <f>+SUM(Y14:Y72)</f>
        <v>133</v>
      </c>
      <c r="Z74" s="83">
        <f>+SUM(Z14:Z72)</f>
        <v>1529.9999999999991</v>
      </c>
      <c r="AA74" s="84">
        <f t="shared" si="3"/>
        <v>2861159.625</v>
      </c>
      <c r="AB74" s="86">
        <f>+SUM(AB14:AB72)</f>
        <v>11</v>
      </c>
      <c r="AC74" s="83">
        <f t="shared" si="3"/>
        <v>372.6</v>
      </c>
      <c r="AD74" s="84">
        <f t="shared" si="3"/>
        <v>152634.375</v>
      </c>
      <c r="AE74" s="86">
        <f>+SUM(AE14:AE72)</f>
        <v>94</v>
      </c>
      <c r="AF74" s="83">
        <f t="shared" si="3"/>
        <v>1304.8000000000004</v>
      </c>
      <c r="AG74" s="84">
        <f t="shared" si="3"/>
        <v>8953749.71875</v>
      </c>
      <c r="AH74" s="86">
        <f>+SUM(AH14:AH72)</f>
        <v>18</v>
      </c>
      <c r="AI74" s="83">
        <f t="shared" si="3"/>
        <v>183</v>
      </c>
      <c r="AJ74" s="84">
        <f t="shared" si="3"/>
        <v>236677.5</v>
      </c>
      <c r="AK74" s="86">
        <f>+SUM(AK14:AK72)</f>
        <v>32</v>
      </c>
      <c r="AL74" s="83">
        <f t="shared" si="3"/>
        <v>715.00000000000011</v>
      </c>
      <c r="AM74" s="84">
        <f t="shared" si="3"/>
        <v>946341.5</v>
      </c>
      <c r="AN74" s="86">
        <f>+SUM(AN14:AN72)</f>
        <v>52</v>
      </c>
      <c r="AO74" s="83">
        <f t="shared" si="3"/>
        <v>1020</v>
      </c>
      <c r="AP74" s="84">
        <f t="shared" si="3"/>
        <v>2889012.083333333</v>
      </c>
      <c r="AQ74" s="86">
        <f>+SUM(AQ14:AQ72)</f>
        <v>25</v>
      </c>
      <c r="AR74" s="83">
        <f t="shared" si="3"/>
        <v>396</v>
      </c>
      <c r="AS74" s="84">
        <f t="shared" si="3"/>
        <v>523102.5</v>
      </c>
      <c r="AU74" s="86">
        <f>+SUM(AU14:AU72)</f>
        <v>964</v>
      </c>
      <c r="AV74" s="83">
        <f t="shared" ref="AV74:AW74" si="4">+SUM(AV14:AV72)</f>
        <v>8242.010000000002</v>
      </c>
      <c r="AW74" s="84">
        <f t="shared" si="4"/>
        <v>32028564.514583334</v>
      </c>
    </row>
    <row r="75" spans="1:49" x14ac:dyDescent="0.25">
      <c r="D75" s="33"/>
      <c r="E75" s="33"/>
      <c r="F75" s="33"/>
      <c r="K75" s="70"/>
    </row>
    <row r="76" spans="1:49" x14ac:dyDescent="0.25">
      <c r="C76" t="s">
        <v>387</v>
      </c>
      <c r="D76" s="33"/>
      <c r="E76" s="33">
        <f>+E74/(D8*9*0.714285714285714)</f>
        <v>0.30722222222222234</v>
      </c>
      <c r="F76" s="33">
        <f>+F74/D7</f>
        <v>0.21934124999999999</v>
      </c>
      <c r="H76" s="33">
        <f>+H74/(G8*9*0.714285714285714)</f>
        <v>0.10181818181818185</v>
      </c>
      <c r="I76" s="33">
        <f>+I74/G7</f>
        <v>9.2595288461538458E-2</v>
      </c>
      <c r="K76" s="33">
        <f>+K74/(J8*9*0.714285714285714)</f>
        <v>0.21733703703703716</v>
      </c>
      <c r="L76" s="33">
        <f>+L74/J7</f>
        <v>0.266117090625</v>
      </c>
      <c r="N76" s="33">
        <f>+N74/(M8*9*0.714285714285714)</f>
        <v>0.2596533333333334</v>
      </c>
      <c r="O76" s="33">
        <f>+O74/M7</f>
        <v>0.36426225000000001</v>
      </c>
      <c r="Q76" s="33">
        <f>+Q74/(P8*9*0.714285714285714)</f>
        <v>0.59192000000000022</v>
      </c>
      <c r="R76" s="33">
        <f>+R74/P7</f>
        <v>1.7920783124999999</v>
      </c>
      <c r="T76" s="33">
        <f>+T74/(S8*9*0.714285714285714)</f>
        <v>0.43138666666666692</v>
      </c>
      <c r="U76" s="33">
        <f>+U74/S7</f>
        <v>0.36008145000000003</v>
      </c>
      <c r="W76" s="33">
        <f>+W74/(V8*9*0.714285714285714)</f>
        <v>0.27222222222222231</v>
      </c>
      <c r="X76" s="33">
        <f>+X74/V7</f>
        <v>0.49069125000000002</v>
      </c>
      <c r="Z76" s="33">
        <f>+Z74/(Y8*9*0.714285714285714)</f>
        <v>0.66111111111111098</v>
      </c>
      <c r="AA76" s="33">
        <f>+AA74/Y7</f>
        <v>0.1788224765625</v>
      </c>
      <c r="AC76" s="33">
        <f>+AC74/(AB8*9*0.714285714285714)</f>
        <v>0.19320000000000009</v>
      </c>
      <c r="AD76" s="33">
        <f>+AD74/AB7</f>
        <v>4.3609821428571428E-2</v>
      </c>
      <c r="AF76" s="33">
        <f>+AF74/(AE8*9*0.714285714285714)</f>
        <v>0.48325925925925967</v>
      </c>
      <c r="AG76" s="33">
        <f>+AG74/AE7</f>
        <v>0.23562499259868422</v>
      </c>
      <c r="AI76" s="33">
        <f>+AI74/(AH8*9*0.714285714285714)</f>
        <v>0.31629629629629641</v>
      </c>
      <c r="AJ76" s="33">
        <f>+AJ74/AH7</f>
        <v>0.29584687500000001</v>
      </c>
      <c r="AL76" s="33">
        <f>+AL74/(AK8*9*0.714285714285714)</f>
        <v>0.41193415637860109</v>
      </c>
      <c r="AM76" s="33">
        <f>+AM74/AK7</f>
        <v>0.23658537499999999</v>
      </c>
      <c r="AO76" s="33">
        <f>+AO74/(AN8*9*0.714285714285714)</f>
        <v>0.44074074074074093</v>
      </c>
      <c r="AP76" s="33">
        <f>+AP74/AN7</f>
        <v>0.41271601190476187</v>
      </c>
      <c r="AR76" s="33">
        <f>+AR74/(AQ8*9*0.714285714285714)</f>
        <v>0.25666666666666677</v>
      </c>
      <c r="AS76" s="33">
        <f>+AS74/AQ7</f>
        <v>0.23777386363636363</v>
      </c>
    </row>
    <row r="77" spans="1:49" x14ac:dyDescent="0.25">
      <c r="C77" t="s">
        <v>349</v>
      </c>
      <c r="D77" s="33"/>
      <c r="E77" s="33"/>
      <c r="F77" s="33"/>
      <c r="K77" s="80"/>
    </row>
    <row r="78" spans="1:49" x14ac:dyDescent="0.25">
      <c r="D78" s="70"/>
      <c r="E78" s="70"/>
      <c r="F78" s="36"/>
      <c r="J78" s="428" t="s">
        <v>592</v>
      </c>
      <c r="K78" s="428"/>
      <c r="L78" s="428" t="s">
        <v>593</v>
      </c>
      <c r="M78" s="428"/>
      <c r="N78" s="428"/>
      <c r="O78" s="428"/>
      <c r="AM78" s="216" t="s">
        <v>582</v>
      </c>
    </row>
    <row r="79" spans="1:49" x14ac:dyDescent="0.25">
      <c r="C79" s="4" t="s">
        <v>583</v>
      </c>
      <c r="D79" s="4" t="s">
        <v>572</v>
      </c>
      <c r="E79" s="4" t="s">
        <v>584</v>
      </c>
      <c r="F79" s="4" t="s">
        <v>332</v>
      </c>
      <c r="G79" s="4"/>
      <c r="J79" s="4" t="s">
        <v>589</v>
      </c>
      <c r="K79" s="4" t="s">
        <v>590</v>
      </c>
      <c r="L79" s="429" t="s">
        <v>589</v>
      </c>
      <c r="M79" s="425"/>
      <c r="N79" s="429" t="s">
        <v>591</v>
      </c>
      <c r="O79" s="425"/>
    </row>
    <row r="80" spans="1:49" x14ac:dyDescent="0.25">
      <c r="C80" s="4" t="str">
        <f>+D3</f>
        <v>Prefactibilidad SRE</v>
      </c>
      <c r="D80" s="4" t="str">
        <f>+D5</f>
        <v>Ingenieria prefactibilidad</v>
      </c>
      <c r="E80" s="61">
        <f>+D7</f>
        <v>1500000</v>
      </c>
      <c r="F80" s="34">
        <f>+D8</f>
        <v>180</v>
      </c>
      <c r="G80" s="4"/>
      <c r="I80" s="4" t="s">
        <v>585</v>
      </c>
      <c r="J80" s="221">
        <v>0.01</v>
      </c>
      <c r="K80" s="220">
        <f>3/57</f>
        <v>5.2631578947368418E-2</v>
      </c>
      <c r="L80" s="61">
        <f>E86+E90</f>
        <v>850000</v>
      </c>
      <c r="M80" s="222">
        <f>+L80/SUM($L$80:$L$83)</f>
        <v>6.4935064935064939E-3</v>
      </c>
      <c r="N80" s="34">
        <f>+F90+F86</f>
        <v>180</v>
      </c>
      <c r="O80" s="363">
        <f>+N80/SUM($N$80:$N$83)</f>
        <v>4.9586776859504134E-2</v>
      </c>
    </row>
    <row r="81" spans="3:15" x14ac:dyDescent="0.25">
      <c r="C81" s="4" t="str">
        <f>+G3</f>
        <v>Ingenieria Obras Tempranas</v>
      </c>
      <c r="D81" s="4" t="str">
        <f>+G5</f>
        <v>Ingenieria Basica</v>
      </c>
      <c r="E81" s="61">
        <f>+G7</f>
        <v>6500000</v>
      </c>
      <c r="F81" s="34">
        <f>+G8</f>
        <v>330</v>
      </c>
      <c r="G81" s="4"/>
      <c r="I81" s="4" t="s">
        <v>586</v>
      </c>
      <c r="J81" s="221">
        <v>0.04</v>
      </c>
      <c r="K81" s="220">
        <f>6/57</f>
        <v>0.10526315789473684</v>
      </c>
      <c r="L81" s="61">
        <f>+E80+E93</f>
        <v>3700000</v>
      </c>
      <c r="M81" s="222">
        <f>+L81/SUM($L$80:$L$83)</f>
        <v>2.8265851795263561E-2</v>
      </c>
      <c r="N81" s="34">
        <f>+F80+F93</f>
        <v>420</v>
      </c>
      <c r="O81" s="363">
        <f t="shared" ref="O81:O83" si="5">+N81/SUM($N$80:$N$83)</f>
        <v>0.11570247933884298</v>
      </c>
    </row>
    <row r="82" spans="3:15" x14ac:dyDescent="0.25">
      <c r="C82" s="4" t="str">
        <f>+J3</f>
        <v>EPC Reducción Emisiones</v>
      </c>
      <c r="D82" s="4" t="str">
        <f>+J5</f>
        <v>Ingenieria Detalles y Construcción</v>
      </c>
      <c r="E82" s="61">
        <f>+J7</f>
        <v>50000000</v>
      </c>
      <c r="F82" s="34">
        <f>+J8</f>
        <v>540</v>
      </c>
      <c r="G82" s="4"/>
      <c r="I82" s="4" t="s">
        <v>587</v>
      </c>
      <c r="J82" s="221">
        <v>0.1</v>
      </c>
      <c r="K82" s="220">
        <f>12/57</f>
        <v>0.21052631578947367</v>
      </c>
      <c r="L82" s="61">
        <f>+E81+E88</f>
        <v>10000000</v>
      </c>
      <c r="M82" s="222">
        <f>+L82/SUM($L$80:$L$83)</f>
        <v>7.6394194041252861E-2</v>
      </c>
      <c r="N82" s="34">
        <f>+F81+F88</f>
        <v>630</v>
      </c>
      <c r="O82" s="363">
        <f t="shared" si="5"/>
        <v>0.17355371900826447</v>
      </c>
    </row>
    <row r="83" spans="3:15" x14ac:dyDescent="0.25">
      <c r="C83" s="4" t="str">
        <f>+M3</f>
        <v xml:space="preserve">Estudio Geotecnia SRE. </v>
      </c>
      <c r="D83" s="4" t="str">
        <f>+M5</f>
        <v>Ingenieria Detalles y Construcción</v>
      </c>
      <c r="E83" s="61">
        <f>+M7</f>
        <v>600000</v>
      </c>
      <c r="F83" s="34">
        <f>+M8</f>
        <v>150</v>
      </c>
      <c r="G83" s="4"/>
      <c r="I83" s="4" t="s">
        <v>588</v>
      </c>
      <c r="J83" s="221">
        <v>0.85</v>
      </c>
      <c r="K83" s="220">
        <f>36/57</f>
        <v>0.63157894736842102</v>
      </c>
      <c r="L83" s="61">
        <f>+E82+E83+E84+E85+E87+E91+E92+E89</f>
        <v>116350000</v>
      </c>
      <c r="M83" s="222">
        <f>+L83/SUM($L$80:$L$83)</f>
        <v>0.88884644766997711</v>
      </c>
      <c r="N83" s="34">
        <f>+F82+F83+F84+F85+F87+F91+F92+F89</f>
        <v>2400</v>
      </c>
      <c r="O83" s="363">
        <f t="shared" si="5"/>
        <v>0.66115702479338845</v>
      </c>
    </row>
    <row r="84" spans="3:15" x14ac:dyDescent="0.25">
      <c r="C84" s="4" t="str">
        <f>+P3</f>
        <v xml:space="preserve">Alimentación Eléctrica SRE </v>
      </c>
      <c r="D84" s="4" t="str">
        <f>+P5</f>
        <v>Construcción</v>
      </c>
      <c r="E84" s="61">
        <f>+P7</f>
        <v>500000</v>
      </c>
      <c r="F84" s="34">
        <f>+P8</f>
        <v>150</v>
      </c>
      <c r="G84" s="4"/>
    </row>
    <row r="85" spans="3:15" x14ac:dyDescent="0.25">
      <c r="C85" s="4" t="str">
        <f>+S3</f>
        <v>Ampliación Instalación Casa Blanca</v>
      </c>
      <c r="D85" s="4" t="str">
        <f>+S5</f>
        <v>Ingenieria Detalles y Construcción</v>
      </c>
      <c r="E85" s="61">
        <f>+S7</f>
        <v>250000</v>
      </c>
      <c r="F85" s="4">
        <f>+S8</f>
        <v>150</v>
      </c>
      <c r="G85" s="4"/>
      <c r="K85" t="s">
        <v>817</v>
      </c>
    </row>
    <row r="86" spans="3:15" x14ac:dyDescent="0.25">
      <c r="C86" s="4" t="str">
        <f>+V3</f>
        <v>Ingenieria Perfil Torre Absorción</v>
      </c>
      <c r="D86" s="4" t="str">
        <f>+V5</f>
        <v>Ingenieria Perfil</v>
      </c>
      <c r="E86" s="61">
        <f>+V7</f>
        <v>50000</v>
      </c>
      <c r="F86" s="4">
        <f>+V8</f>
        <v>90</v>
      </c>
      <c r="G86" s="4"/>
    </row>
    <row r="87" spans="3:15" x14ac:dyDescent="0.25">
      <c r="C87" s="4" t="str">
        <f>+Y3</f>
        <v>Reemplazo Torre Absorción PLG1</v>
      </c>
      <c r="D87" s="4" t="str">
        <f>+Y5</f>
        <v>Ingenieria Detalles y Construcción</v>
      </c>
      <c r="E87" s="61">
        <f>+Y7</f>
        <v>16000000</v>
      </c>
      <c r="F87" s="4">
        <f>+Y8</f>
        <v>360</v>
      </c>
      <c r="G87" s="4"/>
    </row>
    <row r="88" spans="3:15" x14ac:dyDescent="0.25">
      <c r="C88" s="4" t="str">
        <f>+AB3</f>
        <v>Ingenieria Basica ACB</v>
      </c>
      <c r="D88" s="4" t="str">
        <f>+AB5</f>
        <v>Ingenieria Basica</v>
      </c>
      <c r="E88" s="61">
        <f>+AB7</f>
        <v>3500000</v>
      </c>
      <c r="F88" s="4">
        <f>+AB8</f>
        <v>300</v>
      </c>
      <c r="G88" s="4"/>
    </row>
    <row r="89" spans="3:15" x14ac:dyDescent="0.25">
      <c r="C89" s="4" t="str">
        <f>+AE3</f>
        <v>EPC Proyecto ACB</v>
      </c>
      <c r="D89" s="4" t="str">
        <f>+AE5</f>
        <v>Ingenieria Detalles y Construcción</v>
      </c>
      <c r="E89" s="61">
        <f>+AE7</f>
        <v>38000000</v>
      </c>
      <c r="F89" s="4">
        <f>+AE8</f>
        <v>420</v>
      </c>
      <c r="G89" s="4"/>
    </row>
    <row r="90" spans="3:15" x14ac:dyDescent="0.25">
      <c r="C90" s="4" t="str">
        <f>+AH3</f>
        <v>Ingenieria Perfil Puente Grúa</v>
      </c>
      <c r="D90" s="61" t="str">
        <f>+AH5</f>
        <v>Ingenieria Perfil</v>
      </c>
      <c r="E90" s="61">
        <f>+AH7</f>
        <v>800000</v>
      </c>
      <c r="F90" s="4">
        <f>+AH8</f>
        <v>90</v>
      </c>
      <c r="G90" s="4"/>
    </row>
    <row r="91" spans="3:15" x14ac:dyDescent="0.25">
      <c r="C91" s="4" t="str">
        <f>+AK3</f>
        <v>Obras Civiles Puentes Grúa</v>
      </c>
      <c r="D91" s="4" t="str">
        <f>+AK5</f>
        <v>Construcción</v>
      </c>
      <c r="E91" s="61">
        <f>+AK7</f>
        <v>4000000</v>
      </c>
      <c r="F91" s="4">
        <f>+AK8</f>
        <v>270</v>
      </c>
      <c r="G91" s="4"/>
    </row>
    <row r="92" spans="3:15" x14ac:dyDescent="0.25">
      <c r="C92" s="4" t="str">
        <f>+AN3</f>
        <v>Estructura y Obras Eléctricas</v>
      </c>
      <c r="D92" s="4" t="str">
        <f>+AN5</f>
        <v>Construcción</v>
      </c>
      <c r="E92" s="61">
        <f>+AN7</f>
        <v>7000000</v>
      </c>
      <c r="F92" s="4">
        <f>+AN8</f>
        <v>360</v>
      </c>
      <c r="G92" s="4"/>
    </row>
    <row r="93" spans="3:15" x14ac:dyDescent="0.25">
      <c r="C93" s="4" t="str">
        <f>+AQ3</f>
        <v>Ingenieria Prefactibilidad</v>
      </c>
      <c r="D93" s="4" t="str">
        <f>+AQ5</f>
        <v>Ingenieria Prefactibilidad</v>
      </c>
      <c r="E93" s="61">
        <f>+AQ7</f>
        <v>2200000</v>
      </c>
      <c r="F93" s="4">
        <f>+AQ8</f>
        <v>240</v>
      </c>
      <c r="G93" s="4"/>
    </row>
    <row r="94" spans="3:15" x14ac:dyDescent="0.25">
      <c r="C94" t="s">
        <v>604</v>
      </c>
      <c r="E94" s="61">
        <f>+SUM(E80:E93)</f>
        <v>130900000</v>
      </c>
      <c r="F94" s="4">
        <f>+SUM(F80:F93)*5/7</f>
        <v>2592.8571428571427</v>
      </c>
    </row>
  </sheetData>
  <mergeCells count="138">
    <mergeCell ref="AR12:AS12"/>
    <mergeCell ref="AQ4:AS4"/>
    <mergeCell ref="AQ5:AS5"/>
    <mergeCell ref="AQ6:AS6"/>
    <mergeCell ref="AQ7:AS7"/>
    <mergeCell ref="AQ8:AS8"/>
    <mergeCell ref="AQ9:AS9"/>
    <mergeCell ref="AQ10:AS10"/>
    <mergeCell ref="AH10:AJ10"/>
    <mergeCell ref="AK4:AM4"/>
    <mergeCell ref="AK5:AM5"/>
    <mergeCell ref="AK6:AM6"/>
    <mergeCell ref="AK7:AM7"/>
    <mergeCell ref="AK8:AM8"/>
    <mergeCell ref="AK9:AM9"/>
    <mergeCell ref="AK10:AM10"/>
    <mergeCell ref="AN4:AP4"/>
    <mergeCell ref="AH2:AN2"/>
    <mergeCell ref="AN9:AP9"/>
    <mergeCell ref="AN10:AP10"/>
    <mergeCell ref="AH3:AJ3"/>
    <mergeCell ref="AK3:AM3"/>
    <mergeCell ref="J78:K78"/>
    <mergeCell ref="L78:O78"/>
    <mergeCell ref="L79:M79"/>
    <mergeCell ref="N79:O79"/>
    <mergeCell ref="AI12:AJ12"/>
    <mergeCell ref="AL12:AM12"/>
    <mergeCell ref="AO12:AP12"/>
    <mergeCell ref="V2:AA2"/>
    <mergeCell ref="Z12:AA12"/>
    <mergeCell ref="V9:X9"/>
    <mergeCell ref="V10:X10"/>
    <mergeCell ref="Y8:AA8"/>
    <mergeCell ref="Y9:AA9"/>
    <mergeCell ref="Y10:AA10"/>
    <mergeCell ref="Y3:AA3"/>
    <mergeCell ref="V3:X3"/>
    <mergeCell ref="W12:X12"/>
    <mergeCell ref="D2:U2"/>
    <mergeCell ref="S6:U6"/>
    <mergeCell ref="J6:L6"/>
    <mergeCell ref="AQ3:AS3"/>
    <mergeCell ref="AN3:AP3"/>
    <mergeCell ref="AH4:AJ4"/>
    <mergeCell ref="AH5:AJ5"/>
    <mergeCell ref="AH6:AJ6"/>
    <mergeCell ref="AH7:AJ7"/>
    <mergeCell ref="AH8:AJ8"/>
    <mergeCell ref="S7:U7"/>
    <mergeCell ref="S8:U8"/>
    <mergeCell ref="S5:U5"/>
    <mergeCell ref="AE8:AG8"/>
    <mergeCell ref="AN5:AP5"/>
    <mergeCell ref="AN6:AP6"/>
    <mergeCell ref="AN7:AP7"/>
    <mergeCell ref="AN8:AP8"/>
    <mergeCell ref="V4:X4"/>
    <mergeCell ref="V5:X5"/>
    <mergeCell ref="V6:X6"/>
    <mergeCell ref="V7:X7"/>
    <mergeCell ref="V8:X8"/>
    <mergeCell ref="Y4:AA4"/>
    <mergeCell ref="Y5:AA5"/>
    <mergeCell ref="Y6:AA6"/>
    <mergeCell ref="D3:F3"/>
    <mergeCell ref="D4:F4"/>
    <mergeCell ref="D5:F5"/>
    <mergeCell ref="G3:I3"/>
    <mergeCell ref="G4:I4"/>
    <mergeCell ref="G5:I5"/>
    <mergeCell ref="M3:O3"/>
    <mergeCell ref="M4:O4"/>
    <mergeCell ref="M5:O5"/>
    <mergeCell ref="J3:L3"/>
    <mergeCell ref="J4:L4"/>
    <mergeCell ref="J5:L5"/>
    <mergeCell ref="S3:U3"/>
    <mergeCell ref="S4:U4"/>
    <mergeCell ref="E12:F12"/>
    <mergeCell ref="D6:F6"/>
    <mergeCell ref="D7:F7"/>
    <mergeCell ref="G7:I7"/>
    <mergeCell ref="D8:F8"/>
    <mergeCell ref="G8:I8"/>
    <mergeCell ref="M9:O9"/>
    <mergeCell ref="M10:O10"/>
    <mergeCell ref="N12:O12"/>
    <mergeCell ref="J7:L7"/>
    <mergeCell ref="J9:L9"/>
    <mergeCell ref="J10:L10"/>
    <mergeCell ref="J8:L8"/>
    <mergeCell ref="H12:I12"/>
    <mergeCell ref="D9:F9"/>
    <mergeCell ref="D10:F10"/>
    <mergeCell ref="G9:I9"/>
    <mergeCell ref="P3:R3"/>
    <mergeCell ref="P4:R4"/>
    <mergeCell ref="P5:R5"/>
    <mergeCell ref="G6:I6"/>
    <mergeCell ref="M6:O6"/>
    <mergeCell ref="AE6:AG6"/>
    <mergeCell ref="AE7:AG7"/>
    <mergeCell ref="M8:O8"/>
    <mergeCell ref="Q12:R12"/>
    <mergeCell ref="P6:R6"/>
    <mergeCell ref="P7:R7"/>
    <mergeCell ref="P8:R8"/>
    <mergeCell ref="P9:R9"/>
    <mergeCell ref="P10:R10"/>
    <mergeCell ref="S9:U9"/>
    <mergeCell ref="S10:U10"/>
    <mergeCell ref="T12:U12"/>
    <mergeCell ref="Y7:AA7"/>
    <mergeCell ref="AQ2:AS2"/>
    <mergeCell ref="AH9:AJ9"/>
    <mergeCell ref="G10:I10"/>
    <mergeCell ref="K12:L12"/>
    <mergeCell ref="M7:O7"/>
    <mergeCell ref="AY12:BA12"/>
    <mergeCell ref="AU10:AW10"/>
    <mergeCell ref="AV12:AW12"/>
    <mergeCell ref="AE9:AG9"/>
    <mergeCell ref="AE10:AG10"/>
    <mergeCell ref="AB2:AG2"/>
    <mergeCell ref="AC12:AD12"/>
    <mergeCell ref="AE3:AG3"/>
    <mergeCell ref="AB3:AD3"/>
    <mergeCell ref="AF12:AG12"/>
    <mergeCell ref="AB4:AD4"/>
    <mergeCell ref="AB5:AD5"/>
    <mergeCell ref="AB6:AD6"/>
    <mergeCell ref="AB7:AD7"/>
    <mergeCell ref="AB8:AD8"/>
    <mergeCell ref="AB9:AD9"/>
    <mergeCell ref="AB10:AD10"/>
    <mergeCell ref="AE4:AG4"/>
    <mergeCell ref="AE5:AG5"/>
  </mergeCells>
  <pageMargins left="0.7" right="0.7" top="0.75" bottom="0.75" header="0.3" footer="0.3"/>
  <pageSetup orientation="portrait" r:id="rId1"/>
  <ignoredErrors>
    <ignoredError sqref="K31 K36" formula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78"/>
  <sheetViews>
    <sheetView topLeftCell="G58" zoomScale="70" zoomScaleNormal="70" workbookViewId="0">
      <selection activeCell="N91" sqref="N91"/>
    </sheetView>
  </sheetViews>
  <sheetFormatPr baseColWidth="10" defaultRowHeight="15" x14ac:dyDescent="0.25"/>
  <cols>
    <col min="1" max="1" width="3.85546875" bestFit="1" customWidth="1"/>
    <col min="2" max="2" width="21.42578125" customWidth="1"/>
    <col min="3" max="3" width="25.140625" customWidth="1"/>
    <col min="4" max="4" width="78.5703125" bestFit="1" customWidth="1"/>
    <col min="5" max="5" width="0" hidden="1" customWidth="1"/>
    <col min="6" max="6" width="17.5703125" customWidth="1"/>
    <col min="7" max="7" width="13.140625" customWidth="1"/>
    <col min="10" max="10" width="13.7109375" customWidth="1"/>
    <col min="12" max="12" width="11.42578125" customWidth="1"/>
    <col min="13" max="13" width="12.7109375" customWidth="1"/>
  </cols>
  <sheetData>
    <row r="1" spans="1:19" x14ac:dyDescent="0.25">
      <c r="F1">
        <f>+SUBTOTAL(9,F3:F60)</f>
        <v>8017.0100000000039</v>
      </c>
    </row>
    <row r="2" spans="1:19" x14ac:dyDescent="0.25">
      <c r="A2" t="s">
        <v>790</v>
      </c>
      <c r="B2" t="s">
        <v>572</v>
      </c>
      <c r="C2" t="s">
        <v>573</v>
      </c>
      <c r="D2" t="s">
        <v>580</v>
      </c>
      <c r="E2" t="s">
        <v>329</v>
      </c>
      <c r="F2" t="s">
        <v>605</v>
      </c>
      <c r="G2" t="s">
        <v>606</v>
      </c>
      <c r="H2" s="206" t="s">
        <v>602</v>
      </c>
      <c r="I2" s="206" t="s">
        <v>569</v>
      </c>
      <c r="J2" s="206"/>
      <c r="K2" s="207" t="s">
        <v>575</v>
      </c>
      <c r="L2" s="207" t="s">
        <v>570</v>
      </c>
      <c r="M2" s="207" t="s">
        <v>571</v>
      </c>
    </row>
    <row r="3" spans="1:19" x14ac:dyDescent="0.25">
      <c r="A3" s="4">
        <v>1</v>
      </c>
      <c r="B3" s="198" t="s">
        <v>11</v>
      </c>
      <c r="C3" s="196" t="s">
        <v>366</v>
      </c>
      <c r="D3" s="40" t="s">
        <v>377</v>
      </c>
      <c r="E3" s="34">
        <v>22</v>
      </c>
      <c r="F3" s="34">
        <v>384.5</v>
      </c>
      <c r="G3" s="34">
        <v>886447.6875</v>
      </c>
      <c r="H3" s="247">
        <f>+F3/$F$62</f>
        <v>1.6476890113253751E-2</v>
      </c>
      <c r="I3" s="247">
        <f t="shared" ref="I3:I34" si="0">+E3/SUM($E$3:$E$60)</f>
        <v>2.3454157782515993E-2</v>
      </c>
      <c r="J3" s="248">
        <v>1</v>
      </c>
      <c r="K3" s="249">
        <f>+H3</f>
        <v>1.6476890113253751E-2</v>
      </c>
      <c r="L3" s="247">
        <f>+VLOOKUP(D3,'Juicio Expertos'!$D$3:$K$61,8,0)</f>
        <v>8.0000000000000016E-2</v>
      </c>
      <c r="M3" s="247">
        <f t="shared" ref="M3:M34" si="1">+K3+L3</f>
        <v>9.6476890113253763E-2</v>
      </c>
      <c r="N3" s="80"/>
      <c r="O3" s="80"/>
      <c r="P3" s="80"/>
    </row>
    <row r="4" spans="1:19" x14ac:dyDescent="0.25">
      <c r="A4" s="4">
        <f>+A3+1</f>
        <v>2</v>
      </c>
      <c r="B4" s="198" t="s">
        <v>11</v>
      </c>
      <c r="C4" s="196" t="s">
        <v>365</v>
      </c>
      <c r="D4" s="40" t="s">
        <v>21</v>
      </c>
      <c r="E4" s="34">
        <v>23</v>
      </c>
      <c r="F4" s="34">
        <v>359.1</v>
      </c>
      <c r="G4" s="34">
        <v>979686.5625</v>
      </c>
      <c r="H4" s="247">
        <f t="shared" ref="H4:H37" si="2">+F4/$F$62</f>
        <v>1.5388429752066118E-2</v>
      </c>
      <c r="I4" s="247">
        <f t="shared" si="0"/>
        <v>2.4520255863539446E-2</v>
      </c>
      <c r="J4" s="248">
        <f>+J3+1</f>
        <v>2</v>
      </c>
      <c r="K4" s="249">
        <f t="shared" ref="K4:K60" si="3">+H4</f>
        <v>1.5388429752066118E-2</v>
      </c>
      <c r="L4" s="247">
        <f>+VLOOKUP(D4,'Juicio Expertos'!$D$3:$K$61,8,0)</f>
        <v>0.24</v>
      </c>
      <c r="M4" s="247">
        <f t="shared" si="1"/>
        <v>0.2553884297520661</v>
      </c>
      <c r="N4" s="80"/>
      <c r="O4" s="80"/>
      <c r="P4" s="80"/>
      <c r="R4" s="80"/>
      <c r="S4" s="80"/>
    </row>
    <row r="5" spans="1:19" x14ac:dyDescent="0.25">
      <c r="A5" s="4">
        <f t="shared" ref="A5:A12" si="4">+A4+1</f>
        <v>3</v>
      </c>
      <c r="B5" s="198" t="s">
        <v>8</v>
      </c>
      <c r="C5" s="196" t="s">
        <v>380</v>
      </c>
      <c r="D5" s="40" t="s">
        <v>381</v>
      </c>
      <c r="E5" s="34">
        <v>27</v>
      </c>
      <c r="F5" s="34">
        <v>351</v>
      </c>
      <c r="G5" s="34">
        <v>1249880.8125</v>
      </c>
      <c r="H5" s="247">
        <f t="shared" si="2"/>
        <v>1.5041322314049589E-2</v>
      </c>
      <c r="I5" s="247">
        <f t="shared" si="0"/>
        <v>2.8784648187633263E-2</v>
      </c>
      <c r="J5" s="248">
        <f t="shared" ref="J5:J60" si="5">+J4+1</f>
        <v>3</v>
      </c>
      <c r="K5" s="249">
        <f t="shared" si="3"/>
        <v>1.5041322314049589E-2</v>
      </c>
      <c r="L5" s="247">
        <f>+VLOOKUP(D5,'Juicio Expertos'!$D$3:$K$61,8,0)</f>
        <v>0.1</v>
      </c>
      <c r="M5" s="247">
        <f t="shared" si="1"/>
        <v>0.11504132231404959</v>
      </c>
      <c r="N5" s="80"/>
      <c r="O5" s="80"/>
      <c r="P5" s="80"/>
      <c r="R5" s="80"/>
      <c r="S5" s="80"/>
    </row>
    <row r="6" spans="1:19" x14ac:dyDescent="0.25">
      <c r="A6" s="4">
        <f t="shared" si="4"/>
        <v>4</v>
      </c>
      <c r="B6" s="198" t="s">
        <v>11</v>
      </c>
      <c r="C6" s="196" t="s">
        <v>366</v>
      </c>
      <c r="D6" s="40" t="s">
        <v>378</v>
      </c>
      <c r="E6" s="34">
        <v>16</v>
      </c>
      <c r="F6" s="34">
        <v>336</v>
      </c>
      <c r="G6" s="34">
        <v>710390.53125</v>
      </c>
      <c r="H6" s="247">
        <f t="shared" si="2"/>
        <v>1.4398530762167128E-2</v>
      </c>
      <c r="I6" s="247">
        <f t="shared" si="0"/>
        <v>1.7057569296375266E-2</v>
      </c>
      <c r="J6" s="248">
        <f t="shared" si="5"/>
        <v>4</v>
      </c>
      <c r="K6" s="249">
        <f t="shared" si="3"/>
        <v>1.4398530762167128E-2</v>
      </c>
      <c r="L6" s="247">
        <f>+VLOOKUP(D6,'Juicio Expertos'!$D$3:$K$61,8,0)</f>
        <v>2.0000000000000004E-2</v>
      </c>
      <c r="M6" s="247">
        <f t="shared" si="1"/>
        <v>3.4398530762167132E-2</v>
      </c>
      <c r="N6" s="80"/>
      <c r="O6" s="80"/>
      <c r="P6" s="80"/>
      <c r="R6" s="80"/>
      <c r="S6" s="80"/>
    </row>
    <row r="7" spans="1:19" x14ac:dyDescent="0.25">
      <c r="A7" s="4">
        <f t="shared" si="4"/>
        <v>5</v>
      </c>
      <c r="B7" s="198" t="s">
        <v>11</v>
      </c>
      <c r="C7" s="196" t="s">
        <v>365</v>
      </c>
      <c r="D7" s="40" t="s">
        <v>598</v>
      </c>
      <c r="E7" s="34">
        <v>20</v>
      </c>
      <c r="F7" s="34">
        <v>278.70000000000005</v>
      </c>
      <c r="G7" s="34">
        <v>741011.625</v>
      </c>
      <c r="H7" s="247">
        <f t="shared" si="2"/>
        <v>1.1943067033976129E-2</v>
      </c>
      <c r="I7" s="247">
        <f t="shared" si="0"/>
        <v>2.1321961620469083E-2</v>
      </c>
      <c r="J7" s="248">
        <f t="shared" si="5"/>
        <v>5</v>
      </c>
      <c r="K7" s="249">
        <f t="shared" si="3"/>
        <v>1.1943067033976129E-2</v>
      </c>
      <c r="L7" s="247">
        <f>+VLOOKUP(D7,'Juicio Expertos'!$D$3:$K$61,8,0)</f>
        <v>0.03</v>
      </c>
      <c r="M7" s="247">
        <f t="shared" si="1"/>
        <v>4.1943067033976128E-2</v>
      </c>
      <c r="N7" s="80"/>
      <c r="O7" s="80"/>
      <c r="P7" s="80"/>
      <c r="R7" s="80"/>
      <c r="S7" s="80"/>
    </row>
    <row r="8" spans="1:19" x14ac:dyDescent="0.25">
      <c r="A8" s="4">
        <f t="shared" si="4"/>
        <v>6</v>
      </c>
      <c r="B8" s="198" t="s">
        <v>8</v>
      </c>
      <c r="C8" s="196" t="s">
        <v>28</v>
      </c>
      <c r="D8" s="40" t="s">
        <v>567</v>
      </c>
      <c r="E8" s="34">
        <v>37</v>
      </c>
      <c r="F8" s="34">
        <v>265.5</v>
      </c>
      <c r="G8" s="34">
        <v>938732.8125</v>
      </c>
      <c r="H8" s="247">
        <f t="shared" si="2"/>
        <v>1.1377410468319561E-2</v>
      </c>
      <c r="I8" s="247">
        <f t="shared" si="0"/>
        <v>3.9445628997867806E-2</v>
      </c>
      <c r="J8" s="248">
        <f t="shared" si="5"/>
        <v>6</v>
      </c>
      <c r="K8" s="249">
        <f t="shared" si="3"/>
        <v>1.1377410468319561E-2</v>
      </c>
      <c r="L8" s="247">
        <f>+VLOOKUP(D8,'Juicio Expertos'!$D$3:$K$61,8,0)</f>
        <v>0.05</v>
      </c>
      <c r="M8" s="247">
        <f t="shared" si="1"/>
        <v>6.1377410468319564E-2</v>
      </c>
    </row>
    <row r="9" spans="1:19" x14ac:dyDescent="0.25">
      <c r="A9" s="4">
        <f t="shared" si="4"/>
        <v>7</v>
      </c>
      <c r="B9" s="198" t="s">
        <v>8</v>
      </c>
      <c r="C9" s="196" t="s">
        <v>28</v>
      </c>
      <c r="D9" s="40" t="s">
        <v>34</v>
      </c>
      <c r="E9" s="34">
        <v>30</v>
      </c>
      <c r="F9" s="34">
        <v>220.5</v>
      </c>
      <c r="G9" s="34">
        <v>969543.6</v>
      </c>
      <c r="H9" s="247">
        <f t="shared" si="2"/>
        <v>9.4490358126721775E-3</v>
      </c>
      <c r="I9" s="247">
        <f t="shared" si="0"/>
        <v>3.1982942430703626E-2</v>
      </c>
      <c r="J9" s="248">
        <f t="shared" si="5"/>
        <v>7</v>
      </c>
      <c r="K9" s="249">
        <f t="shared" si="3"/>
        <v>9.4490358126721775E-3</v>
      </c>
      <c r="L9" s="247">
        <f>+VLOOKUP(D9,'Juicio Expertos'!$D$3:$K$61,8,0)</f>
        <v>0.06</v>
      </c>
      <c r="M9" s="247">
        <f t="shared" si="1"/>
        <v>6.9449035812672172E-2</v>
      </c>
      <c r="N9" s="80"/>
      <c r="O9" s="80"/>
      <c r="R9" s="80"/>
      <c r="S9" s="80"/>
    </row>
    <row r="10" spans="1:19" x14ac:dyDescent="0.25">
      <c r="A10" s="4">
        <f t="shared" si="4"/>
        <v>8</v>
      </c>
      <c r="B10" s="198" t="s">
        <v>11</v>
      </c>
      <c r="C10" s="196" t="s">
        <v>366</v>
      </c>
      <c r="D10" s="40" t="s">
        <v>22</v>
      </c>
      <c r="E10" s="34">
        <v>11</v>
      </c>
      <c r="F10" s="34">
        <v>214.8</v>
      </c>
      <c r="G10" s="34">
        <v>467287.3125</v>
      </c>
      <c r="H10" s="247">
        <f t="shared" si="2"/>
        <v>9.2047750229568431E-3</v>
      </c>
      <c r="I10" s="247">
        <f t="shared" si="0"/>
        <v>1.1727078891257996E-2</v>
      </c>
      <c r="J10" s="248">
        <f t="shared" si="5"/>
        <v>8</v>
      </c>
      <c r="K10" s="249">
        <f t="shared" si="3"/>
        <v>9.2047750229568431E-3</v>
      </c>
      <c r="L10" s="247">
        <f>+VLOOKUP(D10,'Juicio Expertos'!$D$3:$K$61,8,0)</f>
        <v>0.03</v>
      </c>
      <c r="M10" s="247">
        <f t="shared" si="1"/>
        <v>3.9204775022956842E-2</v>
      </c>
      <c r="N10" s="80"/>
      <c r="O10" s="80"/>
      <c r="P10" s="80"/>
      <c r="R10" s="80"/>
      <c r="S10" s="80"/>
    </row>
    <row r="11" spans="1:19" x14ac:dyDescent="0.25">
      <c r="A11" s="4">
        <f t="shared" si="4"/>
        <v>9</v>
      </c>
      <c r="B11" s="198" t="s">
        <v>20</v>
      </c>
      <c r="C11" s="196" t="s">
        <v>367</v>
      </c>
      <c r="D11" s="40" t="s">
        <v>375</v>
      </c>
      <c r="E11" s="34">
        <v>10</v>
      </c>
      <c r="F11" s="34">
        <v>214</v>
      </c>
      <c r="G11" s="34">
        <v>445114.5</v>
      </c>
      <c r="H11" s="247">
        <f t="shared" si="2"/>
        <v>9.1704928068564451E-3</v>
      </c>
      <c r="I11" s="247">
        <f t="shared" si="0"/>
        <v>1.0660980810234541E-2</v>
      </c>
      <c r="J11" s="248">
        <f t="shared" si="5"/>
        <v>9</v>
      </c>
      <c r="K11" s="249">
        <f t="shared" si="3"/>
        <v>9.1704928068564451E-3</v>
      </c>
      <c r="L11" s="247">
        <f>+VLOOKUP(D11,'Juicio Expertos'!$D$3:$K$61,8,0)</f>
        <v>0.27</v>
      </c>
      <c r="M11" s="247">
        <f t="shared" si="1"/>
        <v>0.27917049280685646</v>
      </c>
      <c r="N11" s="80"/>
      <c r="O11" s="80"/>
      <c r="P11" s="80"/>
      <c r="R11" s="80"/>
      <c r="S11" s="80"/>
    </row>
    <row r="12" spans="1:19" x14ac:dyDescent="0.25">
      <c r="A12" s="4">
        <f t="shared" si="4"/>
        <v>10</v>
      </c>
      <c r="B12" s="196" t="s">
        <v>8</v>
      </c>
      <c r="C12" s="197" t="s">
        <v>380</v>
      </c>
      <c r="D12" s="40" t="s">
        <v>397</v>
      </c>
      <c r="E12" s="34">
        <v>8</v>
      </c>
      <c r="F12" s="34">
        <v>202.5</v>
      </c>
      <c r="G12" s="34">
        <v>702300.28125</v>
      </c>
      <c r="H12" s="247">
        <f t="shared" si="2"/>
        <v>8.6776859504132248E-3</v>
      </c>
      <c r="I12" s="247">
        <f t="shared" si="0"/>
        <v>8.5287846481876331E-3</v>
      </c>
      <c r="J12" s="248">
        <f t="shared" si="5"/>
        <v>10</v>
      </c>
      <c r="K12" s="249">
        <f t="shared" si="3"/>
        <v>8.6776859504132248E-3</v>
      </c>
      <c r="L12" s="247">
        <f>+VLOOKUP(D12,'Juicio Expertos'!$D$3:$K$61,8,0)</f>
        <v>0.18000000000000002</v>
      </c>
      <c r="M12" s="247">
        <f t="shared" si="1"/>
        <v>0.18867768595041323</v>
      </c>
      <c r="N12" s="80"/>
      <c r="O12" s="80"/>
      <c r="P12" s="80"/>
      <c r="R12" s="80"/>
      <c r="S12" s="80"/>
    </row>
    <row r="13" spans="1:19" x14ac:dyDescent="0.25">
      <c r="B13" s="4" t="s">
        <v>8</v>
      </c>
      <c r="C13" s="4" t="s">
        <v>54</v>
      </c>
      <c r="D13" s="40" t="s">
        <v>56</v>
      </c>
      <c r="E13" s="34">
        <v>47</v>
      </c>
      <c r="F13" s="34">
        <v>202.49999999999997</v>
      </c>
      <c r="G13" s="34">
        <v>856046.4375</v>
      </c>
      <c r="H13" s="247">
        <f t="shared" si="2"/>
        <v>8.677685950413223E-3</v>
      </c>
      <c r="I13" s="247">
        <f t="shared" si="0"/>
        <v>5.0106609808102345E-2</v>
      </c>
      <c r="J13" s="248">
        <f t="shared" si="5"/>
        <v>11</v>
      </c>
      <c r="K13" s="249">
        <f t="shared" si="3"/>
        <v>8.677685950413223E-3</v>
      </c>
      <c r="L13" s="247">
        <f>+VLOOKUP(D13,'Juicio Expertos'!$D$3:$K$61,8,0)</f>
        <v>0.03</v>
      </c>
      <c r="M13" s="247">
        <f t="shared" si="1"/>
        <v>3.8677685950413224E-2</v>
      </c>
      <c r="R13" s="80"/>
      <c r="S13" s="80"/>
    </row>
    <row r="14" spans="1:19" x14ac:dyDescent="0.25">
      <c r="B14" s="198" t="s">
        <v>20</v>
      </c>
      <c r="C14" s="196" t="s">
        <v>367</v>
      </c>
      <c r="D14" s="40" t="s">
        <v>374</v>
      </c>
      <c r="E14" s="34">
        <v>7</v>
      </c>
      <c r="F14" s="34">
        <v>186.77</v>
      </c>
      <c r="G14" s="34">
        <v>645750.1875</v>
      </c>
      <c r="H14" s="247">
        <f t="shared" si="2"/>
        <v>8.0036118763391513E-3</v>
      </c>
      <c r="I14" s="247">
        <f t="shared" si="0"/>
        <v>7.462686567164179E-3</v>
      </c>
      <c r="J14" s="248">
        <f t="shared" si="5"/>
        <v>12</v>
      </c>
      <c r="K14" s="249">
        <f t="shared" si="3"/>
        <v>8.0036118763391513E-3</v>
      </c>
      <c r="L14" s="247">
        <f>+VLOOKUP(D14,'Juicio Expertos'!$D$3:$K$61,8,0)</f>
        <v>4.8000000000000001E-2</v>
      </c>
      <c r="M14" s="247">
        <f t="shared" si="1"/>
        <v>5.6003611876339149E-2</v>
      </c>
      <c r="N14" s="80"/>
      <c r="O14" s="80"/>
      <c r="P14" s="80"/>
      <c r="R14" s="80"/>
      <c r="S14" s="80"/>
    </row>
    <row r="15" spans="1:19" x14ac:dyDescent="0.25">
      <c r="B15" s="198" t="s">
        <v>8</v>
      </c>
      <c r="C15" s="196" t="s">
        <v>380</v>
      </c>
      <c r="D15" s="40" t="s">
        <v>29</v>
      </c>
      <c r="E15" s="34">
        <v>23</v>
      </c>
      <c r="F15" s="34">
        <v>175.05</v>
      </c>
      <c r="G15" s="34">
        <v>350261.34375</v>
      </c>
      <c r="H15" s="247">
        <f t="shared" si="2"/>
        <v>7.5013774104683208E-3</v>
      </c>
      <c r="I15" s="247">
        <f t="shared" si="0"/>
        <v>2.4520255863539446E-2</v>
      </c>
      <c r="J15" s="248">
        <f t="shared" si="5"/>
        <v>13</v>
      </c>
      <c r="K15" s="249">
        <f t="shared" si="3"/>
        <v>7.5013774104683208E-3</v>
      </c>
      <c r="L15" s="247">
        <f>+VLOOKUP(D15,'Juicio Expertos'!$D$3:$K$61,8,0)</f>
        <v>0.03</v>
      </c>
      <c r="M15" s="247">
        <f t="shared" si="1"/>
        <v>3.7501377410468321E-2</v>
      </c>
      <c r="N15" s="80"/>
      <c r="O15" s="80"/>
      <c r="P15" s="80"/>
      <c r="R15" s="80"/>
      <c r="S15" s="80"/>
    </row>
    <row r="16" spans="1:19" x14ac:dyDescent="0.25">
      <c r="B16" s="198" t="s">
        <v>20</v>
      </c>
      <c r="C16" s="196" t="s">
        <v>367</v>
      </c>
      <c r="D16" s="40" t="s">
        <v>376</v>
      </c>
      <c r="E16" s="34">
        <v>9</v>
      </c>
      <c r="F16" s="34">
        <v>171.3</v>
      </c>
      <c r="G16" s="34">
        <v>585721.53750000009</v>
      </c>
      <c r="H16" s="247">
        <f t="shared" si="2"/>
        <v>7.3406795224977058E-3</v>
      </c>
      <c r="I16" s="247">
        <f t="shared" si="0"/>
        <v>9.5948827292110881E-3</v>
      </c>
      <c r="J16" s="248">
        <f t="shared" si="5"/>
        <v>14</v>
      </c>
      <c r="K16" s="249">
        <f t="shared" si="3"/>
        <v>7.3406795224977058E-3</v>
      </c>
      <c r="L16" s="247">
        <f>+VLOOKUP(D16,'Juicio Expertos'!$D$3:$K$61,8,0)</f>
        <v>6.9999999999999993E-2</v>
      </c>
      <c r="M16" s="247">
        <f t="shared" si="1"/>
        <v>7.7340679522497693E-2</v>
      </c>
      <c r="N16" s="80"/>
      <c r="O16" s="80"/>
      <c r="P16" s="80"/>
      <c r="R16" s="80"/>
      <c r="S16" s="80"/>
    </row>
    <row r="17" spans="2:19" x14ac:dyDescent="0.25">
      <c r="B17" s="198" t="s">
        <v>8</v>
      </c>
      <c r="C17" s="196" t="s">
        <v>28</v>
      </c>
      <c r="D17" s="40" t="s">
        <v>382</v>
      </c>
      <c r="E17" s="34">
        <v>17</v>
      </c>
      <c r="F17" s="34">
        <v>163.30000000000001</v>
      </c>
      <c r="G17" s="34">
        <v>683726.625</v>
      </c>
      <c r="H17" s="247">
        <f t="shared" si="2"/>
        <v>6.9978573614937261E-3</v>
      </c>
      <c r="I17" s="247">
        <f t="shared" si="0"/>
        <v>1.8123667377398719E-2</v>
      </c>
      <c r="J17" s="248">
        <f t="shared" si="5"/>
        <v>15</v>
      </c>
      <c r="K17" s="249">
        <f t="shared" si="3"/>
        <v>6.9978573614937261E-3</v>
      </c>
      <c r="L17" s="247">
        <f>+VLOOKUP(D17,'Juicio Expertos'!$D$3:$K$61,8,0)</f>
        <v>0.21</v>
      </c>
      <c r="M17" s="247">
        <f t="shared" si="1"/>
        <v>0.21699785736149371</v>
      </c>
      <c r="N17" s="80"/>
      <c r="O17" s="80"/>
      <c r="P17" s="80"/>
      <c r="R17" s="80"/>
      <c r="S17" s="80"/>
    </row>
    <row r="18" spans="2:19" x14ac:dyDescent="0.25">
      <c r="B18" s="198" t="s">
        <v>8</v>
      </c>
      <c r="C18" s="196" t="s">
        <v>380</v>
      </c>
      <c r="D18" s="40" t="s">
        <v>394</v>
      </c>
      <c r="E18" s="34">
        <v>6</v>
      </c>
      <c r="F18" s="34">
        <v>159.30000000000001</v>
      </c>
      <c r="G18" s="34">
        <v>930893.8125</v>
      </c>
      <c r="H18" s="247">
        <f t="shared" si="2"/>
        <v>6.8264462809917367E-3</v>
      </c>
      <c r="I18" s="247">
        <f t="shared" si="0"/>
        <v>6.3965884861407248E-3</v>
      </c>
      <c r="J18" s="248">
        <f t="shared" si="5"/>
        <v>16</v>
      </c>
      <c r="K18" s="249">
        <f t="shared" si="3"/>
        <v>6.8264462809917367E-3</v>
      </c>
      <c r="L18" s="247">
        <f>+VLOOKUP(D18,'Juicio Expertos'!$D$3:$K$61,8,0)</f>
        <v>4.0000000000000008E-2</v>
      </c>
      <c r="M18" s="247">
        <f t="shared" si="1"/>
        <v>4.6826446280991744E-2</v>
      </c>
      <c r="N18" s="80"/>
      <c r="O18" s="80"/>
      <c r="P18" s="80"/>
      <c r="R18" s="80"/>
      <c r="S18" s="80"/>
    </row>
    <row r="19" spans="2:19" x14ac:dyDescent="0.25">
      <c r="B19" s="198" t="s">
        <v>8</v>
      </c>
      <c r="C19" s="196" t="s">
        <v>28</v>
      </c>
      <c r="D19" s="40" t="s">
        <v>38</v>
      </c>
      <c r="E19" s="34">
        <v>20</v>
      </c>
      <c r="F19" s="34">
        <v>158.76</v>
      </c>
      <c r="G19" s="34">
        <v>2000667.3187500001</v>
      </c>
      <c r="H19" s="247">
        <f t="shared" si="2"/>
        <v>6.8033057851239675E-3</v>
      </c>
      <c r="I19" s="247">
        <f t="shared" si="0"/>
        <v>2.1321961620469083E-2</v>
      </c>
      <c r="J19" s="248">
        <f t="shared" si="5"/>
        <v>17</v>
      </c>
      <c r="K19" s="249">
        <f t="shared" si="3"/>
        <v>6.8033057851239675E-3</v>
      </c>
      <c r="L19" s="247">
        <f>+VLOOKUP(D19,'Juicio Expertos'!$D$3:$K$61,8,0)</f>
        <v>0.03</v>
      </c>
      <c r="M19" s="247">
        <f t="shared" si="1"/>
        <v>3.6803305785123967E-2</v>
      </c>
      <c r="N19" s="80"/>
      <c r="O19" s="80"/>
      <c r="P19" s="80"/>
      <c r="R19" s="80"/>
      <c r="S19" s="80"/>
    </row>
    <row r="20" spans="2:19" x14ac:dyDescent="0.25">
      <c r="B20" s="196" t="s">
        <v>8</v>
      </c>
      <c r="C20" s="197" t="s">
        <v>28</v>
      </c>
      <c r="D20" s="40" t="s">
        <v>32</v>
      </c>
      <c r="E20" s="34">
        <v>9</v>
      </c>
      <c r="F20" s="34">
        <v>158.60000000000002</v>
      </c>
      <c r="G20" s="34">
        <v>834181.40625</v>
      </c>
      <c r="H20" s="247">
        <f t="shared" si="2"/>
        <v>6.7964493419038893E-3</v>
      </c>
      <c r="I20" s="247">
        <f t="shared" si="0"/>
        <v>9.5948827292110881E-3</v>
      </c>
      <c r="J20" s="248">
        <f t="shared" si="5"/>
        <v>18</v>
      </c>
      <c r="K20" s="249">
        <f t="shared" si="3"/>
        <v>6.7964493419038893E-3</v>
      </c>
      <c r="L20" s="247">
        <f>+VLOOKUP(D20,'Juicio Expertos'!$D$3:$K$61,8,0)</f>
        <v>0.13999999999999999</v>
      </c>
      <c r="M20" s="247">
        <f t="shared" si="1"/>
        <v>0.14679644934190386</v>
      </c>
      <c r="R20" s="80"/>
      <c r="S20" s="80"/>
    </row>
    <row r="21" spans="2:19" x14ac:dyDescent="0.25">
      <c r="B21" s="198" t="s">
        <v>8</v>
      </c>
      <c r="C21" s="196" t="s">
        <v>28</v>
      </c>
      <c r="D21" s="40" t="s">
        <v>36</v>
      </c>
      <c r="E21" s="34">
        <v>31</v>
      </c>
      <c r="F21" s="34">
        <v>155.69999999999999</v>
      </c>
      <c r="G21" s="34">
        <v>394738.875</v>
      </c>
      <c r="H21" s="247">
        <f t="shared" si="2"/>
        <v>6.6721763085399455E-3</v>
      </c>
      <c r="I21" s="247">
        <f t="shared" si="0"/>
        <v>3.3049040511727079E-2</v>
      </c>
      <c r="J21" s="248">
        <f t="shared" si="5"/>
        <v>19</v>
      </c>
      <c r="K21" s="249">
        <f t="shared" si="3"/>
        <v>6.6721763085399455E-3</v>
      </c>
      <c r="L21" s="247">
        <f>+VLOOKUP(D21,'Juicio Expertos'!$D$3:$K$61,8,0)</f>
        <v>0.27</v>
      </c>
      <c r="M21" s="247">
        <f t="shared" si="1"/>
        <v>0.27667217630853996</v>
      </c>
      <c r="R21" s="80"/>
      <c r="S21" s="80"/>
    </row>
    <row r="22" spans="2:19" x14ac:dyDescent="0.25">
      <c r="B22" s="4" t="s">
        <v>8</v>
      </c>
      <c r="C22" s="4" t="s">
        <v>54</v>
      </c>
      <c r="D22" s="40" t="s">
        <v>55</v>
      </c>
      <c r="E22" s="34">
        <v>11</v>
      </c>
      <c r="F22" s="34">
        <v>152.1</v>
      </c>
      <c r="G22" s="34">
        <v>1050991.3125</v>
      </c>
      <c r="H22" s="247">
        <f t="shared" si="2"/>
        <v>6.5179063360881551E-3</v>
      </c>
      <c r="I22" s="247">
        <f t="shared" si="0"/>
        <v>1.1727078891257996E-2</v>
      </c>
      <c r="J22" s="248">
        <f t="shared" si="5"/>
        <v>20</v>
      </c>
      <c r="K22" s="249">
        <f t="shared" si="3"/>
        <v>6.5179063360881551E-3</v>
      </c>
      <c r="L22" s="247">
        <f>+VLOOKUP(D22,'Juicio Expertos'!$D$3:$K$61,8,0)</f>
        <v>0.05</v>
      </c>
      <c r="M22" s="247">
        <f t="shared" si="1"/>
        <v>5.6517906336088157E-2</v>
      </c>
      <c r="N22" s="80"/>
      <c r="O22" s="80"/>
      <c r="P22" s="80"/>
      <c r="R22" s="80"/>
      <c r="S22" s="80"/>
    </row>
    <row r="23" spans="2:19" x14ac:dyDescent="0.25">
      <c r="B23" s="4" t="s">
        <v>8</v>
      </c>
      <c r="C23" s="4" t="s">
        <v>53</v>
      </c>
      <c r="D23" s="40" t="s">
        <v>576</v>
      </c>
      <c r="E23" s="34">
        <v>22</v>
      </c>
      <c r="F23" s="34">
        <v>150.29999999999998</v>
      </c>
      <c r="G23" s="34">
        <v>780828.46875</v>
      </c>
      <c r="H23" s="247">
        <f t="shared" si="2"/>
        <v>6.4407713498622595E-3</v>
      </c>
      <c r="I23" s="247">
        <f t="shared" si="0"/>
        <v>2.3454157782515993E-2</v>
      </c>
      <c r="J23" s="248">
        <f t="shared" si="5"/>
        <v>21</v>
      </c>
      <c r="K23" s="249">
        <f t="shared" si="3"/>
        <v>6.4407713498622595E-3</v>
      </c>
      <c r="L23" s="247">
        <f>+VLOOKUP(D23,'Juicio Expertos'!$D$3:$K$61,8,0)</f>
        <v>0.13999999999999999</v>
      </c>
      <c r="M23" s="247">
        <f t="shared" si="1"/>
        <v>0.14644077134986225</v>
      </c>
      <c r="N23" s="80"/>
      <c r="O23" s="80"/>
      <c r="P23" s="80"/>
      <c r="R23" s="80"/>
      <c r="S23" s="80"/>
    </row>
    <row r="24" spans="2:19" x14ac:dyDescent="0.25">
      <c r="B24" s="198" t="s">
        <v>20</v>
      </c>
      <c r="C24" s="196" t="s">
        <v>365</v>
      </c>
      <c r="D24" s="40" t="s">
        <v>373</v>
      </c>
      <c r="E24" s="34">
        <v>12</v>
      </c>
      <c r="F24" s="34">
        <v>144.5</v>
      </c>
      <c r="G24" s="34">
        <v>688487.8125</v>
      </c>
      <c r="H24" s="247">
        <f t="shared" si="2"/>
        <v>6.1922252831343744E-3</v>
      </c>
      <c r="I24" s="247">
        <f t="shared" si="0"/>
        <v>1.279317697228145E-2</v>
      </c>
      <c r="J24" s="248">
        <f t="shared" si="5"/>
        <v>22</v>
      </c>
      <c r="K24" s="249">
        <f t="shared" si="3"/>
        <v>6.1922252831343744E-3</v>
      </c>
      <c r="L24" s="247">
        <f>+VLOOKUP(D24,'Juicio Expertos'!$D$3:$K$61,8,0)</f>
        <v>4.0000000000000008E-2</v>
      </c>
      <c r="M24" s="247">
        <f t="shared" si="1"/>
        <v>4.619222528313438E-2</v>
      </c>
      <c r="R24" s="80"/>
      <c r="S24" s="80"/>
    </row>
    <row r="25" spans="2:19" x14ac:dyDescent="0.25">
      <c r="B25" s="198" t="s">
        <v>8</v>
      </c>
      <c r="C25" s="196" t="s">
        <v>380</v>
      </c>
      <c r="D25" s="40" t="s">
        <v>578</v>
      </c>
      <c r="E25" s="34">
        <v>28</v>
      </c>
      <c r="F25" s="34">
        <v>142.19999999999999</v>
      </c>
      <c r="G25" s="34">
        <v>547182.02083333337</v>
      </c>
      <c r="H25" s="247">
        <f t="shared" si="2"/>
        <v>6.09366391184573E-3</v>
      </c>
      <c r="I25" s="247">
        <f t="shared" si="0"/>
        <v>2.9850746268656716E-2</v>
      </c>
      <c r="J25" s="248">
        <f t="shared" si="5"/>
        <v>23</v>
      </c>
      <c r="K25" s="249">
        <f t="shared" si="3"/>
        <v>6.09366391184573E-3</v>
      </c>
      <c r="L25" s="247">
        <f>+VLOOKUP(D25,'Juicio Expertos'!$D$3:$K$61,8,0)</f>
        <v>4.0000000000000008E-2</v>
      </c>
      <c r="M25" s="247">
        <f t="shared" si="1"/>
        <v>4.6093663911845738E-2</v>
      </c>
      <c r="N25" s="80"/>
      <c r="O25" s="80"/>
      <c r="P25" s="80"/>
      <c r="R25" s="80"/>
      <c r="S25" s="80"/>
    </row>
    <row r="26" spans="2:19" x14ac:dyDescent="0.25">
      <c r="B26" s="198" t="s">
        <v>8</v>
      </c>
      <c r="C26" s="196" t="s">
        <v>380</v>
      </c>
      <c r="D26" s="40" t="s">
        <v>379</v>
      </c>
      <c r="E26" s="34">
        <v>6</v>
      </c>
      <c r="F26" s="34">
        <v>141.30000000000001</v>
      </c>
      <c r="G26" s="34">
        <v>495628.3125</v>
      </c>
      <c r="H26" s="247">
        <f t="shared" si="2"/>
        <v>6.055096418732784E-3</v>
      </c>
      <c r="I26" s="247">
        <f t="shared" si="0"/>
        <v>6.3965884861407248E-3</v>
      </c>
      <c r="J26" s="248">
        <f t="shared" si="5"/>
        <v>24</v>
      </c>
      <c r="K26" s="249">
        <f t="shared" si="3"/>
        <v>6.055096418732784E-3</v>
      </c>
      <c r="L26" s="247">
        <f>+VLOOKUP(D26,'Juicio Expertos'!$D$3:$K$61,8,0)</f>
        <v>1.0000000000000002E-2</v>
      </c>
      <c r="M26" s="247">
        <f t="shared" si="1"/>
        <v>1.6055096418732786E-2</v>
      </c>
      <c r="N26" s="80"/>
      <c r="O26" s="80"/>
      <c r="P26" s="80"/>
      <c r="R26" s="80"/>
      <c r="S26" s="80"/>
    </row>
    <row r="27" spans="2:19" x14ac:dyDescent="0.25">
      <c r="B27" s="198" t="s">
        <v>8</v>
      </c>
      <c r="C27" s="196" t="s">
        <v>42</v>
      </c>
      <c r="D27" s="40" t="s">
        <v>44</v>
      </c>
      <c r="E27" s="34">
        <v>49</v>
      </c>
      <c r="F27" s="34">
        <v>139.5</v>
      </c>
      <c r="G27" s="34">
        <v>1488800.7187500002</v>
      </c>
      <c r="H27" s="247">
        <f t="shared" si="2"/>
        <v>5.9779614325068875E-3</v>
      </c>
      <c r="I27" s="247">
        <f t="shared" si="0"/>
        <v>5.2238805970149252E-2</v>
      </c>
      <c r="J27" s="248">
        <f t="shared" si="5"/>
        <v>25</v>
      </c>
      <c r="K27" s="249">
        <f t="shared" si="3"/>
        <v>5.9779614325068875E-3</v>
      </c>
      <c r="L27" s="247">
        <f>+VLOOKUP(D27,'Juicio Expertos'!$D$3:$K$61,8,0)</f>
        <v>0.05</v>
      </c>
      <c r="M27" s="247">
        <f t="shared" si="1"/>
        <v>5.5977961432506891E-2</v>
      </c>
      <c r="N27" s="80"/>
      <c r="O27" s="80"/>
      <c r="P27" s="80"/>
      <c r="R27" s="80"/>
      <c r="S27" s="80"/>
    </row>
    <row r="28" spans="2:19" x14ac:dyDescent="0.25">
      <c r="B28" s="198" t="s">
        <v>8</v>
      </c>
      <c r="C28" s="196" t="s">
        <v>42</v>
      </c>
      <c r="D28" s="40" t="s">
        <v>43</v>
      </c>
      <c r="E28" s="34">
        <v>36</v>
      </c>
      <c r="F28" s="34">
        <v>136.79999999999998</v>
      </c>
      <c r="G28" s="34">
        <v>437327.00624999998</v>
      </c>
      <c r="H28" s="247">
        <f t="shared" si="2"/>
        <v>5.862258953168044E-3</v>
      </c>
      <c r="I28" s="247">
        <f t="shared" si="0"/>
        <v>3.8379530916844352E-2</v>
      </c>
      <c r="J28" s="248">
        <f t="shared" si="5"/>
        <v>26</v>
      </c>
      <c r="K28" s="249">
        <f t="shared" si="3"/>
        <v>5.862258953168044E-3</v>
      </c>
      <c r="L28" s="247">
        <f>+VLOOKUP(D28,'Juicio Expertos'!$D$3:$K$61,8,0)</f>
        <v>8.0000000000000016E-2</v>
      </c>
      <c r="M28" s="247">
        <f t="shared" si="1"/>
        <v>8.5862258953168055E-2</v>
      </c>
      <c r="R28" s="80"/>
      <c r="S28" s="80"/>
    </row>
    <row r="29" spans="2:19" x14ac:dyDescent="0.25">
      <c r="B29" s="198" t="s">
        <v>11</v>
      </c>
      <c r="C29" s="196" t="s">
        <v>366</v>
      </c>
      <c r="D29" s="40" t="s">
        <v>396</v>
      </c>
      <c r="E29" s="34">
        <v>14</v>
      </c>
      <c r="F29" s="34">
        <v>128</v>
      </c>
      <c r="G29" s="34">
        <v>905706</v>
      </c>
      <c r="H29" s="247">
        <f t="shared" si="2"/>
        <v>5.485154576063668E-3</v>
      </c>
      <c r="I29" s="247">
        <f t="shared" si="0"/>
        <v>1.4925373134328358E-2</v>
      </c>
      <c r="J29" s="248">
        <f t="shared" si="5"/>
        <v>27</v>
      </c>
      <c r="K29" s="249">
        <f t="shared" si="3"/>
        <v>5.485154576063668E-3</v>
      </c>
      <c r="L29" s="247">
        <f>+VLOOKUP(D29,'Juicio Expertos'!$D$3:$K$61,8,0)</f>
        <v>2.5000000000000001E-2</v>
      </c>
      <c r="M29" s="247">
        <f t="shared" si="1"/>
        <v>3.0485154576063669E-2</v>
      </c>
      <c r="N29" s="80"/>
      <c r="O29" s="80"/>
      <c r="P29" s="80"/>
      <c r="R29" s="80"/>
      <c r="S29" s="80"/>
    </row>
    <row r="30" spans="2:19" x14ac:dyDescent="0.25">
      <c r="B30" s="198" t="s">
        <v>19</v>
      </c>
      <c r="C30" s="196" t="s">
        <v>364</v>
      </c>
      <c r="D30" s="40" t="s">
        <v>368</v>
      </c>
      <c r="E30" s="34">
        <v>11</v>
      </c>
      <c r="F30" s="34">
        <v>127.8</v>
      </c>
      <c r="G30" s="34">
        <v>98364.375</v>
      </c>
      <c r="H30" s="247">
        <f t="shared" si="2"/>
        <v>5.4765840220385685E-3</v>
      </c>
      <c r="I30" s="247">
        <f t="shared" si="0"/>
        <v>1.1727078891257996E-2</v>
      </c>
      <c r="J30" s="248">
        <f t="shared" si="5"/>
        <v>28</v>
      </c>
      <c r="K30" s="249">
        <f t="shared" si="3"/>
        <v>5.4765840220385685E-3</v>
      </c>
      <c r="L30" s="247">
        <f>+VLOOKUP(D30,'Juicio Expertos'!$D$3:$K$61,8,0)</f>
        <v>0.18</v>
      </c>
      <c r="M30" s="247">
        <f t="shared" si="1"/>
        <v>0.18547658402203857</v>
      </c>
      <c r="R30" s="80"/>
      <c r="S30" s="80"/>
    </row>
    <row r="31" spans="2:19" x14ac:dyDescent="0.25">
      <c r="B31" s="4" t="s">
        <v>8</v>
      </c>
      <c r="C31" s="4" t="s">
        <v>53</v>
      </c>
      <c r="D31" s="40" t="s">
        <v>384</v>
      </c>
      <c r="E31" s="34">
        <v>14</v>
      </c>
      <c r="F31" s="34">
        <v>122.4</v>
      </c>
      <c r="G31" s="34">
        <v>444903.45</v>
      </c>
      <c r="H31" s="247">
        <f t="shared" si="2"/>
        <v>5.2451790633608825E-3</v>
      </c>
      <c r="I31" s="247">
        <f t="shared" si="0"/>
        <v>1.4925373134328358E-2</v>
      </c>
      <c r="J31" s="248">
        <f t="shared" si="5"/>
        <v>29</v>
      </c>
      <c r="K31" s="249">
        <f t="shared" si="3"/>
        <v>5.2451790633608825E-3</v>
      </c>
      <c r="L31" s="247">
        <f>+VLOOKUP(D31,'Juicio Expertos'!$D$3:$K$61,8,0)</f>
        <v>4.0000000000000008E-2</v>
      </c>
      <c r="M31" s="247">
        <f t="shared" si="1"/>
        <v>4.5245179063360889E-2</v>
      </c>
      <c r="N31" s="80"/>
      <c r="O31" s="80"/>
      <c r="P31" s="80"/>
      <c r="R31" s="80"/>
      <c r="S31" s="80"/>
    </row>
    <row r="32" spans="2:19" x14ac:dyDescent="0.25">
      <c r="B32" s="198" t="s">
        <v>11</v>
      </c>
      <c r="C32" s="196" t="s">
        <v>365</v>
      </c>
      <c r="D32" s="40" t="s">
        <v>390</v>
      </c>
      <c r="E32" s="34">
        <v>6</v>
      </c>
      <c r="F32" s="34">
        <v>115.47</v>
      </c>
      <c r="G32" s="34">
        <v>14472</v>
      </c>
      <c r="H32" s="247">
        <f t="shared" si="2"/>
        <v>4.948209366391185E-3</v>
      </c>
      <c r="I32" s="247">
        <f t="shared" si="0"/>
        <v>6.3965884861407248E-3</v>
      </c>
      <c r="J32" s="248">
        <f t="shared" si="5"/>
        <v>30</v>
      </c>
      <c r="K32" s="249">
        <f t="shared" si="3"/>
        <v>4.948209366391185E-3</v>
      </c>
      <c r="L32" s="247">
        <f>+VLOOKUP(D32,'Juicio Expertos'!$D$3:$K$61,8,0)</f>
        <v>0.248</v>
      </c>
      <c r="M32" s="247">
        <f t="shared" si="1"/>
        <v>0.25294820936639117</v>
      </c>
    </row>
    <row r="33" spans="2:16" x14ac:dyDescent="0.25">
      <c r="B33" s="198" t="s">
        <v>8</v>
      </c>
      <c r="C33" s="196" t="s">
        <v>28</v>
      </c>
      <c r="D33" s="40" t="s">
        <v>37</v>
      </c>
      <c r="E33" s="34">
        <v>16</v>
      </c>
      <c r="F33" s="34">
        <v>115.2</v>
      </c>
      <c r="G33" s="34">
        <v>281280.65625</v>
      </c>
      <c r="H33" s="247">
        <f t="shared" si="2"/>
        <v>4.9366391184573009E-3</v>
      </c>
      <c r="I33" s="247">
        <f t="shared" si="0"/>
        <v>1.7057569296375266E-2</v>
      </c>
      <c r="J33" s="248">
        <f t="shared" si="5"/>
        <v>31</v>
      </c>
      <c r="K33" s="249">
        <f t="shared" si="3"/>
        <v>4.9366391184573009E-3</v>
      </c>
      <c r="L33" s="247">
        <f>+VLOOKUP(D33,'Juicio Expertos'!$D$3:$K$61,8,0)</f>
        <v>0.06</v>
      </c>
      <c r="M33" s="247">
        <f t="shared" si="1"/>
        <v>6.4936639118457304E-2</v>
      </c>
      <c r="N33" s="80"/>
      <c r="O33" s="80"/>
      <c r="P33" s="80"/>
    </row>
    <row r="34" spans="2:16" x14ac:dyDescent="0.25">
      <c r="B34" s="198" t="s">
        <v>19</v>
      </c>
      <c r="C34" s="196" t="s">
        <v>11</v>
      </c>
      <c r="D34" s="40" t="s">
        <v>395</v>
      </c>
      <c r="E34" s="34">
        <v>6</v>
      </c>
      <c r="F34" s="34">
        <v>110.69999999999999</v>
      </c>
      <c r="G34" s="34">
        <v>69772.125</v>
      </c>
      <c r="H34" s="247">
        <f t="shared" si="2"/>
        <v>4.7438016528925618E-3</v>
      </c>
      <c r="I34" s="247">
        <f t="shared" si="0"/>
        <v>6.3965884861407248E-3</v>
      </c>
      <c r="J34" s="248">
        <f t="shared" si="5"/>
        <v>32</v>
      </c>
      <c r="K34" s="249">
        <f t="shared" si="3"/>
        <v>4.7438016528925618E-3</v>
      </c>
      <c r="L34" s="247">
        <f>+VLOOKUP(D34,'Juicio Expertos'!$D$3:$K$61,8,0)</f>
        <v>0.16250000000000001</v>
      </c>
      <c r="M34" s="247">
        <f t="shared" si="1"/>
        <v>0.16724380165289257</v>
      </c>
      <c r="N34" s="80"/>
      <c r="O34" s="80"/>
      <c r="P34" s="80"/>
    </row>
    <row r="35" spans="2:16" x14ac:dyDescent="0.25">
      <c r="B35" s="198" t="s">
        <v>19</v>
      </c>
      <c r="C35" s="196" t="s">
        <v>11</v>
      </c>
      <c r="D35" s="40" t="s">
        <v>27</v>
      </c>
      <c r="E35" s="34">
        <v>8</v>
      </c>
      <c r="F35" s="34">
        <v>104.6</v>
      </c>
      <c r="G35" s="34">
        <v>143137.125</v>
      </c>
      <c r="H35" s="247">
        <f t="shared" si="2"/>
        <v>4.4823997551270284E-3</v>
      </c>
      <c r="I35" s="247">
        <f t="shared" ref="I35:I60" si="6">+E35/SUM($E$3:$E$60)</f>
        <v>8.5287846481876331E-3</v>
      </c>
      <c r="J35" s="248">
        <f t="shared" si="5"/>
        <v>33</v>
      </c>
      <c r="K35" s="249">
        <f t="shared" si="3"/>
        <v>4.4823997551270284E-3</v>
      </c>
      <c r="L35" s="247">
        <f>+VLOOKUP(D35,'Juicio Expertos'!$D$3:$K$61,8,0)</f>
        <v>0.06</v>
      </c>
      <c r="M35" s="247">
        <f t="shared" ref="M35:M60" si="7">+K35+L35</f>
        <v>6.4482399755127026E-2</v>
      </c>
    </row>
    <row r="36" spans="2:16" x14ac:dyDescent="0.25">
      <c r="B36" s="4" t="s">
        <v>8</v>
      </c>
      <c r="C36" s="4" t="s">
        <v>53</v>
      </c>
      <c r="D36" s="40" t="s">
        <v>577</v>
      </c>
      <c r="E36" s="34">
        <v>22</v>
      </c>
      <c r="F36" s="34">
        <v>101.7</v>
      </c>
      <c r="G36" s="34">
        <v>502920.84374999994</v>
      </c>
      <c r="H36" s="247">
        <f t="shared" si="2"/>
        <v>4.3581267217630863E-3</v>
      </c>
      <c r="I36" s="247">
        <f t="shared" si="6"/>
        <v>2.3454157782515993E-2</v>
      </c>
      <c r="J36" s="248">
        <f t="shared" si="5"/>
        <v>34</v>
      </c>
      <c r="K36" s="249">
        <f t="shared" si="3"/>
        <v>4.3581267217630863E-3</v>
      </c>
      <c r="L36" s="247">
        <f>+VLOOKUP(D36,'Juicio Expertos'!$D$3:$K$61,8,0)</f>
        <v>0.1</v>
      </c>
      <c r="M36" s="247">
        <f t="shared" si="7"/>
        <v>0.10435812672176309</v>
      </c>
      <c r="N36" s="80"/>
      <c r="O36" s="80"/>
      <c r="P36" s="80"/>
    </row>
    <row r="37" spans="2:16" x14ac:dyDescent="0.25">
      <c r="B37" s="196" t="s">
        <v>8</v>
      </c>
      <c r="C37" s="199" t="s">
        <v>28</v>
      </c>
      <c r="D37" s="40" t="s">
        <v>39</v>
      </c>
      <c r="E37" s="34">
        <v>14</v>
      </c>
      <c r="F37" s="34">
        <v>100.6</v>
      </c>
      <c r="G37" s="34">
        <v>406842.84375</v>
      </c>
      <c r="H37" s="247">
        <f t="shared" si="2"/>
        <v>4.310988674625039E-3</v>
      </c>
      <c r="I37" s="247">
        <f t="shared" si="6"/>
        <v>1.4925373134328358E-2</v>
      </c>
      <c r="J37" s="248">
        <f t="shared" si="5"/>
        <v>35</v>
      </c>
      <c r="K37" s="249">
        <f t="shared" si="3"/>
        <v>4.310988674625039E-3</v>
      </c>
      <c r="L37" s="247">
        <f>+VLOOKUP(D37,'Juicio Expertos'!$D$3:$K$61,8,0)</f>
        <v>0.12</v>
      </c>
      <c r="M37" s="247">
        <f t="shared" si="7"/>
        <v>0.12431098867462503</v>
      </c>
    </row>
    <row r="38" spans="2:16" x14ac:dyDescent="0.25">
      <c r="B38" s="198" t="s">
        <v>8</v>
      </c>
      <c r="C38" s="196" t="s">
        <v>28</v>
      </c>
      <c r="D38" s="40" t="s">
        <v>33</v>
      </c>
      <c r="E38" s="34">
        <v>13</v>
      </c>
      <c r="F38" s="34">
        <v>99.36</v>
      </c>
      <c r="G38" s="34">
        <v>466049.90625</v>
      </c>
      <c r="H38" s="247">
        <f t="shared" ref="H38:H60" si="8">+F38/SUM($F$3:$F$60)</f>
        <v>1.2393648005927391E-2</v>
      </c>
      <c r="I38" s="247">
        <f t="shared" si="6"/>
        <v>1.3859275053304905E-2</v>
      </c>
      <c r="J38" s="248">
        <f t="shared" si="5"/>
        <v>36</v>
      </c>
      <c r="K38" s="249">
        <f t="shared" si="3"/>
        <v>1.2393648005927391E-2</v>
      </c>
      <c r="L38" s="247">
        <f>+VLOOKUP(D38,'Juicio Expertos'!$D$3:$K$61,8,0)</f>
        <v>4.0000000000000008E-2</v>
      </c>
      <c r="M38" s="247">
        <f t="shared" si="7"/>
        <v>5.2393648005927398E-2</v>
      </c>
    </row>
    <row r="39" spans="2:16" x14ac:dyDescent="0.25">
      <c r="B39" s="196" t="s">
        <v>8</v>
      </c>
      <c r="C39" s="197" t="s">
        <v>380</v>
      </c>
      <c r="D39" s="40" t="s">
        <v>30</v>
      </c>
      <c r="E39" s="34">
        <v>17</v>
      </c>
      <c r="F39" s="34">
        <v>95.4</v>
      </c>
      <c r="G39" s="34">
        <v>240829.40625</v>
      </c>
      <c r="H39" s="247">
        <f t="shared" si="8"/>
        <v>1.189969826656072E-2</v>
      </c>
      <c r="I39" s="247">
        <f t="shared" si="6"/>
        <v>1.8123667377398719E-2</v>
      </c>
      <c r="J39" s="248">
        <f t="shared" si="5"/>
        <v>37</v>
      </c>
      <c r="K39" s="249">
        <f t="shared" si="3"/>
        <v>1.189969826656072E-2</v>
      </c>
      <c r="L39" s="247">
        <f>+VLOOKUP(D39,'Juicio Expertos'!$D$3:$K$61,8,0)</f>
        <v>0.06</v>
      </c>
      <c r="M39" s="247">
        <f t="shared" si="7"/>
        <v>7.1899698266560716E-2</v>
      </c>
    </row>
    <row r="40" spans="2:16" x14ac:dyDescent="0.25">
      <c r="B40" s="198" t="s">
        <v>19</v>
      </c>
      <c r="C40" s="196" t="s">
        <v>11</v>
      </c>
      <c r="D40" s="40" t="s">
        <v>24</v>
      </c>
      <c r="E40" s="34">
        <v>10</v>
      </c>
      <c r="F40" s="34">
        <v>95.35</v>
      </c>
      <c r="G40" s="34">
        <v>79520.625</v>
      </c>
      <c r="H40" s="247">
        <f t="shared" si="8"/>
        <v>1.1893461527427301E-2</v>
      </c>
      <c r="I40" s="247">
        <f t="shared" si="6"/>
        <v>1.0660980810234541E-2</v>
      </c>
      <c r="J40" s="248">
        <f t="shared" si="5"/>
        <v>38</v>
      </c>
      <c r="K40" s="249">
        <f t="shared" si="3"/>
        <v>1.1893461527427301E-2</v>
      </c>
      <c r="L40" s="247">
        <f>+VLOOKUP(D40,'Juicio Expertos'!$D$3:$K$61,8,0)</f>
        <v>0.27999999999999997</v>
      </c>
      <c r="M40" s="247">
        <f t="shared" si="7"/>
        <v>0.29189346152742729</v>
      </c>
      <c r="N40" s="80"/>
      <c r="O40" s="80"/>
      <c r="P40" s="80"/>
    </row>
    <row r="41" spans="2:16" x14ac:dyDescent="0.25">
      <c r="B41" s="4" t="s">
        <v>8</v>
      </c>
      <c r="C41" s="4" t="s">
        <v>42</v>
      </c>
      <c r="D41" s="40" t="s">
        <v>46</v>
      </c>
      <c r="E41" s="34">
        <v>37</v>
      </c>
      <c r="F41" s="34">
        <v>94.949999999999989</v>
      </c>
      <c r="G41" s="34">
        <v>665184.375</v>
      </c>
      <c r="H41" s="247">
        <f t="shared" si="8"/>
        <v>1.184356761435996E-2</v>
      </c>
      <c r="I41" s="247">
        <f t="shared" si="6"/>
        <v>3.9445628997867806E-2</v>
      </c>
      <c r="J41" s="248">
        <f t="shared" si="5"/>
        <v>39</v>
      </c>
      <c r="K41" s="249">
        <f t="shared" si="3"/>
        <v>1.184356761435996E-2</v>
      </c>
      <c r="L41" s="247">
        <f>+VLOOKUP(D41,'Juicio Expertos'!$D$3:$K$61,8,0)</f>
        <v>0.05</v>
      </c>
      <c r="M41" s="247">
        <f t="shared" si="7"/>
        <v>6.1843567614359961E-2</v>
      </c>
    </row>
    <row r="42" spans="2:16" x14ac:dyDescent="0.25">
      <c r="B42" s="4" t="s">
        <v>8</v>
      </c>
      <c r="C42" s="4" t="s">
        <v>53</v>
      </c>
      <c r="D42" s="40" t="s">
        <v>383</v>
      </c>
      <c r="E42" s="34">
        <v>10</v>
      </c>
      <c r="F42" s="34">
        <v>94.5</v>
      </c>
      <c r="G42" s="34">
        <v>294163.5</v>
      </c>
      <c r="H42" s="247">
        <f t="shared" si="8"/>
        <v>1.1787436962159203E-2</v>
      </c>
      <c r="I42" s="247">
        <f t="shared" si="6"/>
        <v>1.0660980810234541E-2</v>
      </c>
      <c r="J42" s="248">
        <f t="shared" si="5"/>
        <v>40</v>
      </c>
      <c r="K42" s="249">
        <f t="shared" si="3"/>
        <v>1.1787436962159203E-2</v>
      </c>
      <c r="L42" s="247">
        <f>+VLOOKUP(D42,'Juicio Expertos'!$D$3:$K$61,8,0)</f>
        <v>5.000000000000001E-3</v>
      </c>
      <c r="M42" s="247">
        <f t="shared" si="7"/>
        <v>1.6787436962159202E-2</v>
      </c>
      <c r="N42" s="80"/>
      <c r="O42" s="80"/>
      <c r="P42" s="80"/>
    </row>
    <row r="43" spans="2:16" x14ac:dyDescent="0.25">
      <c r="B43" s="4" t="s">
        <v>8</v>
      </c>
      <c r="C43" s="4" t="s">
        <v>49</v>
      </c>
      <c r="D43" s="40" t="s">
        <v>50</v>
      </c>
      <c r="E43" s="34">
        <v>11</v>
      </c>
      <c r="F43" s="34">
        <v>93.6</v>
      </c>
      <c r="G43" s="34">
        <v>208825.18124999999</v>
      </c>
      <c r="H43" s="247">
        <f t="shared" si="8"/>
        <v>1.1675175657757686E-2</v>
      </c>
      <c r="I43" s="247">
        <f t="shared" si="6"/>
        <v>1.1727078891257996E-2</v>
      </c>
      <c r="J43" s="248">
        <f t="shared" si="5"/>
        <v>41</v>
      </c>
      <c r="K43" s="249">
        <f t="shared" si="3"/>
        <v>1.1675175657757686E-2</v>
      </c>
      <c r="L43" s="247">
        <f>+VLOOKUP(D43,'Juicio Expertos'!$D$3:$K$61,8,0)</f>
        <v>0.12</v>
      </c>
      <c r="M43" s="247">
        <f t="shared" si="7"/>
        <v>0.13167517565775769</v>
      </c>
    </row>
    <row r="44" spans="2:16" x14ac:dyDescent="0.25">
      <c r="B44" s="198" t="s">
        <v>8</v>
      </c>
      <c r="C44" s="196" t="s">
        <v>28</v>
      </c>
      <c r="D44" s="40" t="s">
        <v>40</v>
      </c>
      <c r="E44" s="34">
        <v>14</v>
      </c>
      <c r="F44" s="34">
        <v>92.43</v>
      </c>
      <c r="G44" s="34">
        <v>704278.875</v>
      </c>
      <c r="H44" s="247">
        <f t="shared" si="8"/>
        <v>1.1529235962035717E-2</v>
      </c>
      <c r="I44" s="247">
        <f t="shared" si="6"/>
        <v>1.4925373134328358E-2</v>
      </c>
      <c r="J44" s="248">
        <f t="shared" si="5"/>
        <v>42</v>
      </c>
      <c r="K44" s="249">
        <f t="shared" si="3"/>
        <v>1.1529235962035717E-2</v>
      </c>
      <c r="L44" s="247">
        <f>+VLOOKUP(D44,'Juicio Expertos'!$D$3:$K$61,8,0)</f>
        <v>0.1</v>
      </c>
      <c r="M44" s="247">
        <f t="shared" si="7"/>
        <v>0.11152923596203572</v>
      </c>
    </row>
    <row r="45" spans="2:16" x14ac:dyDescent="0.25">
      <c r="B45" s="4" t="s">
        <v>8</v>
      </c>
      <c r="C45" s="4" t="s">
        <v>54</v>
      </c>
      <c r="D45" s="40" t="s">
        <v>57</v>
      </c>
      <c r="E45" s="34">
        <v>23</v>
      </c>
      <c r="F45" s="34">
        <v>87.3</v>
      </c>
      <c r="G45" s="34">
        <v>772342.5</v>
      </c>
      <c r="H45" s="247">
        <f t="shared" si="8"/>
        <v>1.0889346526947074E-2</v>
      </c>
      <c r="I45" s="247">
        <f t="shared" si="6"/>
        <v>2.4520255863539446E-2</v>
      </c>
      <c r="J45" s="248">
        <f t="shared" si="5"/>
        <v>43</v>
      </c>
      <c r="K45" s="249">
        <f t="shared" si="3"/>
        <v>1.0889346526947074E-2</v>
      </c>
      <c r="L45" s="247">
        <f>+VLOOKUP(D45,'Juicio Expertos'!$D$3:$K$61,8,0)</f>
        <v>1.4999999999999999E-2</v>
      </c>
      <c r="M45" s="247">
        <f t="shared" si="7"/>
        <v>2.5889346526947073E-2</v>
      </c>
    </row>
    <row r="46" spans="2:16" x14ac:dyDescent="0.25">
      <c r="B46" s="198" t="s">
        <v>8</v>
      </c>
      <c r="C46" s="196" t="s">
        <v>28</v>
      </c>
      <c r="D46" s="40" t="s">
        <v>599</v>
      </c>
      <c r="E46" s="34">
        <v>30</v>
      </c>
      <c r="F46" s="34">
        <v>84.6</v>
      </c>
      <c r="G46" s="34">
        <v>205422</v>
      </c>
      <c r="H46" s="247">
        <f t="shared" si="8"/>
        <v>1.0552562613742524E-2</v>
      </c>
      <c r="I46" s="247">
        <f t="shared" si="6"/>
        <v>3.1982942430703626E-2</v>
      </c>
      <c r="J46" s="248">
        <f t="shared" si="5"/>
        <v>44</v>
      </c>
      <c r="K46" s="249">
        <f t="shared" si="3"/>
        <v>1.0552562613742524E-2</v>
      </c>
      <c r="L46" s="247">
        <f>+VLOOKUP(D46,'Juicio Expertos'!$D$3:$K$61,8,0)</f>
        <v>0.06</v>
      </c>
      <c r="M46" s="247">
        <f t="shared" si="7"/>
        <v>7.0552562613742514E-2</v>
      </c>
    </row>
    <row r="47" spans="2:16" x14ac:dyDescent="0.25">
      <c r="B47" s="198" t="s">
        <v>8</v>
      </c>
      <c r="C47" s="196" t="s">
        <v>28</v>
      </c>
      <c r="D47" s="40" t="s">
        <v>568</v>
      </c>
      <c r="E47" s="34">
        <v>17</v>
      </c>
      <c r="F47" s="34">
        <v>84.6</v>
      </c>
      <c r="G47" s="34">
        <v>411762.31874999998</v>
      </c>
      <c r="H47" s="247">
        <f t="shared" si="8"/>
        <v>1.0552562613742524E-2</v>
      </c>
      <c r="I47" s="247">
        <f t="shared" si="6"/>
        <v>1.8123667377398719E-2</v>
      </c>
      <c r="J47" s="248">
        <f t="shared" si="5"/>
        <v>45</v>
      </c>
      <c r="K47" s="249">
        <f t="shared" si="3"/>
        <v>1.0552562613742524E-2</v>
      </c>
      <c r="L47" s="247">
        <f>+VLOOKUP(D47,'Juicio Expertos'!$D$3:$K$61,8,0)</f>
        <v>0.16000000000000003</v>
      </c>
      <c r="M47" s="247">
        <f t="shared" si="7"/>
        <v>0.17055256261374255</v>
      </c>
    </row>
    <row r="48" spans="2:16" x14ac:dyDescent="0.25">
      <c r="B48" s="198" t="s">
        <v>19</v>
      </c>
      <c r="C48" s="196" t="s">
        <v>11</v>
      </c>
      <c r="D48" s="40" t="s">
        <v>26</v>
      </c>
      <c r="E48" s="34">
        <v>6</v>
      </c>
      <c r="F48" s="34">
        <v>82.1</v>
      </c>
      <c r="G48" s="34">
        <v>95562.9375</v>
      </c>
      <c r="H48" s="247">
        <f t="shared" si="8"/>
        <v>1.0240725657071646E-2</v>
      </c>
      <c r="I48" s="247">
        <f t="shared" si="6"/>
        <v>6.3965884861407248E-3</v>
      </c>
      <c r="J48" s="248">
        <f t="shared" si="5"/>
        <v>46</v>
      </c>
      <c r="K48" s="249">
        <f t="shared" si="3"/>
        <v>1.0240725657071646E-2</v>
      </c>
      <c r="L48" s="247">
        <f>+VLOOKUP(D48,'Juicio Expertos'!$D$3:$K$61,8,0)</f>
        <v>4.4999999999999998E-2</v>
      </c>
      <c r="M48" s="247">
        <f t="shared" si="7"/>
        <v>5.5240725657071645E-2</v>
      </c>
    </row>
    <row r="49" spans="2:13" x14ac:dyDescent="0.25">
      <c r="B49" s="4" t="s">
        <v>8</v>
      </c>
      <c r="C49" s="4" t="s">
        <v>47</v>
      </c>
      <c r="D49" s="40" t="s">
        <v>392</v>
      </c>
      <c r="E49" s="34">
        <v>11</v>
      </c>
      <c r="F49" s="34">
        <v>76.5</v>
      </c>
      <c r="G49" s="34">
        <v>252267.5625</v>
      </c>
      <c r="H49" s="247">
        <f t="shared" si="8"/>
        <v>9.5422108741288793E-3</v>
      </c>
      <c r="I49" s="247">
        <f t="shared" si="6"/>
        <v>1.1727078891257996E-2</v>
      </c>
      <c r="J49" s="248">
        <f t="shared" si="5"/>
        <v>47</v>
      </c>
      <c r="K49" s="249">
        <f t="shared" si="3"/>
        <v>9.5422108741288793E-3</v>
      </c>
      <c r="L49" s="247">
        <f>+VLOOKUP(D49,'Juicio Expertos'!$D$3:$K$61,8,0)</f>
        <v>1.7999999999999999E-2</v>
      </c>
      <c r="M49" s="247">
        <f t="shared" si="7"/>
        <v>2.7542210874128878E-2</v>
      </c>
    </row>
    <row r="50" spans="2:13" x14ac:dyDescent="0.25">
      <c r="B50" s="198" t="s">
        <v>8</v>
      </c>
      <c r="C50" s="196" t="s">
        <v>380</v>
      </c>
      <c r="D50" s="40" t="s">
        <v>31</v>
      </c>
      <c r="E50" s="34">
        <v>9</v>
      </c>
      <c r="F50" s="34">
        <v>75.599999999999994</v>
      </c>
      <c r="G50" s="34">
        <v>246052.84375</v>
      </c>
      <c r="H50" s="247">
        <f t="shared" si="8"/>
        <v>9.4299495697273625E-3</v>
      </c>
      <c r="I50" s="247">
        <f t="shared" si="6"/>
        <v>9.5948827292110881E-3</v>
      </c>
      <c r="J50" s="248">
        <f t="shared" si="5"/>
        <v>48</v>
      </c>
      <c r="K50" s="249">
        <f t="shared" si="3"/>
        <v>9.4299495697273625E-3</v>
      </c>
      <c r="L50" s="247">
        <f>+VLOOKUP(D50,'Juicio Expertos'!$D$3:$K$61,8,0)</f>
        <v>4.0000000000000008E-2</v>
      </c>
      <c r="M50" s="247">
        <f t="shared" si="7"/>
        <v>4.942994956972737E-2</v>
      </c>
    </row>
    <row r="51" spans="2:13" x14ac:dyDescent="0.25">
      <c r="B51" s="198" t="s">
        <v>8</v>
      </c>
      <c r="C51" s="196" t="s">
        <v>380</v>
      </c>
      <c r="D51" s="40" t="s">
        <v>579</v>
      </c>
      <c r="E51" s="34">
        <v>9</v>
      </c>
      <c r="F51" s="34">
        <v>73.800000000000011</v>
      </c>
      <c r="G51" s="34">
        <v>422709.28125</v>
      </c>
      <c r="H51" s="247">
        <f t="shared" si="8"/>
        <v>9.2054269609243324E-3</v>
      </c>
      <c r="I51" s="247">
        <f t="shared" si="6"/>
        <v>9.5948827292110881E-3</v>
      </c>
      <c r="J51" s="248">
        <f t="shared" si="5"/>
        <v>49</v>
      </c>
      <c r="K51" s="249">
        <f t="shared" si="3"/>
        <v>9.2054269609243324E-3</v>
      </c>
      <c r="L51" s="247">
        <f>+VLOOKUP(D51,'Juicio Expertos'!$D$3:$K$61,8,0)</f>
        <v>5.000000000000001E-3</v>
      </c>
      <c r="M51" s="247">
        <f t="shared" si="7"/>
        <v>1.4205426960924333E-2</v>
      </c>
    </row>
    <row r="52" spans="2:13" x14ac:dyDescent="0.25">
      <c r="B52" s="4" t="s">
        <v>8</v>
      </c>
      <c r="C52" s="4" t="s">
        <v>47</v>
      </c>
      <c r="D52" s="40" t="s">
        <v>48</v>
      </c>
      <c r="E52" s="34">
        <v>9</v>
      </c>
      <c r="F52" s="34">
        <v>70.38</v>
      </c>
      <c r="G52" s="34">
        <v>527945.34375</v>
      </c>
      <c r="H52" s="247">
        <f t="shared" si="8"/>
        <v>8.7788340041985678E-3</v>
      </c>
      <c r="I52" s="247">
        <f t="shared" si="6"/>
        <v>9.5948827292110881E-3</v>
      </c>
      <c r="J52" s="248">
        <f t="shared" si="5"/>
        <v>50</v>
      </c>
      <c r="K52" s="249">
        <f t="shared" si="3"/>
        <v>8.7788340041985678E-3</v>
      </c>
      <c r="L52" s="247">
        <f>+VLOOKUP(D52,'Juicio Expertos'!$D$3:$K$61,8,0)</f>
        <v>4.0000000000000008E-2</v>
      </c>
      <c r="M52" s="247">
        <f t="shared" si="7"/>
        <v>4.8778834004198579E-2</v>
      </c>
    </row>
    <row r="53" spans="2:13" x14ac:dyDescent="0.25">
      <c r="B53" s="198" t="s">
        <v>8</v>
      </c>
      <c r="C53" s="196" t="s">
        <v>28</v>
      </c>
      <c r="D53" s="40" t="s">
        <v>41</v>
      </c>
      <c r="E53" s="34">
        <v>18</v>
      </c>
      <c r="F53" s="34">
        <v>59.040000000000006</v>
      </c>
      <c r="G53" s="34">
        <v>240502.78125</v>
      </c>
      <c r="H53" s="247">
        <f t="shared" si="8"/>
        <v>7.3643415687394652E-3</v>
      </c>
      <c r="I53" s="247">
        <f t="shared" si="6"/>
        <v>1.9189765458422176E-2</v>
      </c>
      <c r="J53" s="248">
        <f t="shared" si="5"/>
        <v>51</v>
      </c>
      <c r="K53" s="249">
        <f t="shared" si="3"/>
        <v>7.3643415687394652E-3</v>
      </c>
      <c r="L53" s="247">
        <f>+VLOOKUP(D53,'Juicio Expertos'!$D$3:$K$61,8,0)</f>
        <v>1.0000000000000002E-2</v>
      </c>
      <c r="M53" s="247">
        <f t="shared" si="7"/>
        <v>1.7364341568739467E-2</v>
      </c>
    </row>
    <row r="54" spans="2:13" x14ac:dyDescent="0.25">
      <c r="B54" s="198" t="s">
        <v>8</v>
      </c>
      <c r="C54" s="196" t="s">
        <v>380</v>
      </c>
      <c r="D54" s="40" t="s">
        <v>393</v>
      </c>
      <c r="E54" s="34">
        <v>5</v>
      </c>
      <c r="F54" s="34">
        <v>58.5</v>
      </c>
      <c r="G54" s="34">
        <v>203374.3125</v>
      </c>
      <c r="H54" s="247">
        <f t="shared" si="8"/>
        <v>7.2969847860985546E-3</v>
      </c>
      <c r="I54" s="247">
        <f t="shared" si="6"/>
        <v>5.3304904051172707E-3</v>
      </c>
      <c r="J54" s="248">
        <f t="shared" si="5"/>
        <v>52</v>
      </c>
      <c r="K54" s="249">
        <f t="shared" si="3"/>
        <v>7.2969847860985546E-3</v>
      </c>
      <c r="L54" s="247">
        <f>+VLOOKUP(D54,'Juicio Expertos'!$D$3:$K$61,8,0)</f>
        <v>2.0000000000000004E-2</v>
      </c>
      <c r="M54" s="247">
        <f t="shared" si="7"/>
        <v>2.7296984786098558E-2</v>
      </c>
    </row>
    <row r="55" spans="2:13" x14ac:dyDescent="0.25">
      <c r="B55" s="4" t="s">
        <v>8</v>
      </c>
      <c r="C55" s="4" t="s">
        <v>42</v>
      </c>
      <c r="D55" s="40" t="s">
        <v>45</v>
      </c>
      <c r="E55" s="34">
        <v>25</v>
      </c>
      <c r="F55" s="34">
        <v>55.35</v>
      </c>
      <c r="G55" s="34">
        <v>733844.71875</v>
      </c>
      <c r="H55" s="247">
        <f t="shared" si="8"/>
        <v>6.9040702206932475E-3</v>
      </c>
      <c r="I55" s="247">
        <f t="shared" si="6"/>
        <v>2.6652452025586353E-2</v>
      </c>
      <c r="J55" s="248">
        <f t="shared" si="5"/>
        <v>53</v>
      </c>
      <c r="K55" s="249">
        <f t="shared" si="3"/>
        <v>6.9040702206932475E-3</v>
      </c>
      <c r="L55" s="247">
        <f>+VLOOKUP(D55,'Juicio Expertos'!$D$3:$K$61,8,0)</f>
        <v>0.03</v>
      </c>
      <c r="M55" s="247">
        <f t="shared" si="7"/>
        <v>3.6904070220693246E-2</v>
      </c>
    </row>
    <row r="56" spans="2:13" x14ac:dyDescent="0.25">
      <c r="B56" s="198" t="s">
        <v>11</v>
      </c>
      <c r="C56" s="196" t="s">
        <v>365</v>
      </c>
      <c r="D56" s="40" t="s">
        <v>391</v>
      </c>
      <c r="E56" s="34">
        <v>5</v>
      </c>
      <c r="F56" s="34">
        <v>41.650000000000006</v>
      </c>
      <c r="G56" s="34">
        <v>76939.03125</v>
      </c>
      <c r="H56" s="247">
        <f t="shared" si="8"/>
        <v>5.1952036981368346E-3</v>
      </c>
      <c r="I56" s="247">
        <f t="shared" si="6"/>
        <v>5.3304904051172707E-3</v>
      </c>
      <c r="J56" s="248">
        <f t="shared" si="5"/>
        <v>54</v>
      </c>
      <c r="K56" s="249">
        <f t="shared" si="3"/>
        <v>5.1952036981368346E-3</v>
      </c>
      <c r="L56" s="247">
        <f>+VLOOKUP(D56,'Juicio Expertos'!$D$3:$K$61,8,0)</f>
        <v>0.11000000000000001</v>
      </c>
      <c r="M56" s="247">
        <f t="shared" si="7"/>
        <v>0.11519520369813685</v>
      </c>
    </row>
    <row r="57" spans="2:13" x14ac:dyDescent="0.25">
      <c r="B57" s="198" t="s">
        <v>19</v>
      </c>
      <c r="C57" s="196" t="s">
        <v>364</v>
      </c>
      <c r="D57" s="40" t="s">
        <v>25</v>
      </c>
      <c r="E57" s="34">
        <v>3</v>
      </c>
      <c r="F57" s="34">
        <v>39.6</v>
      </c>
      <c r="G57" s="34">
        <v>120411.5625</v>
      </c>
      <c r="H57" s="247">
        <f t="shared" si="8"/>
        <v>4.939497393666714E-3</v>
      </c>
      <c r="I57" s="247">
        <f t="shared" si="6"/>
        <v>3.1982942430703624E-3</v>
      </c>
      <c r="J57" s="248">
        <f t="shared" si="5"/>
        <v>55</v>
      </c>
      <c r="K57" s="249">
        <f t="shared" si="3"/>
        <v>4.939497393666714E-3</v>
      </c>
      <c r="L57" s="247">
        <f>+VLOOKUP(D57,'Juicio Expertos'!$D$3:$K$61,8,0)</f>
        <v>0.05</v>
      </c>
      <c r="M57" s="247">
        <f t="shared" si="7"/>
        <v>5.4939497393666714E-2</v>
      </c>
    </row>
    <row r="58" spans="2:13" x14ac:dyDescent="0.25">
      <c r="B58" s="198" t="s">
        <v>8</v>
      </c>
      <c r="C58" s="196" t="s">
        <v>28</v>
      </c>
      <c r="D58" s="40" t="s">
        <v>386</v>
      </c>
      <c r="E58" s="34">
        <v>6</v>
      </c>
      <c r="F58" s="34">
        <v>39.15</v>
      </c>
      <c r="G58" s="34">
        <v>203296.42499999999</v>
      </c>
      <c r="H58" s="247">
        <f t="shared" si="8"/>
        <v>4.8833667414659556E-3</v>
      </c>
      <c r="I58" s="247">
        <f t="shared" si="6"/>
        <v>6.3965884861407248E-3</v>
      </c>
      <c r="J58" s="248">
        <f t="shared" si="5"/>
        <v>56</v>
      </c>
      <c r="K58" s="249">
        <f t="shared" si="3"/>
        <v>4.8833667414659556E-3</v>
      </c>
      <c r="L58" s="247">
        <f>+VLOOKUP(D58,'Juicio Expertos'!$D$3:$K$61,8,0)</f>
        <v>2.0000000000000004E-2</v>
      </c>
      <c r="M58" s="247">
        <f t="shared" si="7"/>
        <v>2.4883366741465959E-2</v>
      </c>
    </row>
    <row r="59" spans="2:13" x14ac:dyDescent="0.25">
      <c r="B59" s="4" t="s">
        <v>8</v>
      </c>
      <c r="C59" s="4" t="s">
        <v>49</v>
      </c>
      <c r="D59" s="40" t="s">
        <v>51</v>
      </c>
      <c r="E59" s="34">
        <v>1</v>
      </c>
      <c r="F59" s="34">
        <v>16.2</v>
      </c>
      <c r="G59" s="34">
        <v>93276.5625</v>
      </c>
      <c r="H59" s="247">
        <f t="shared" si="8"/>
        <v>2.020703479227292E-3</v>
      </c>
      <c r="I59" s="247">
        <f t="shared" si="6"/>
        <v>1.0660980810234541E-3</v>
      </c>
      <c r="J59" s="248">
        <f t="shared" si="5"/>
        <v>57</v>
      </c>
      <c r="K59" s="249">
        <f t="shared" si="3"/>
        <v>2.020703479227292E-3</v>
      </c>
      <c r="L59" s="247">
        <f>+VLOOKUP(D59,'Juicio Expertos'!$D$3:$K$61,8,0)</f>
        <v>1.0000000000000002E-2</v>
      </c>
      <c r="M59" s="247">
        <f t="shared" si="7"/>
        <v>1.2020703479227294E-2</v>
      </c>
    </row>
    <row r="60" spans="2:13" x14ac:dyDescent="0.25">
      <c r="B60" s="4" t="s">
        <v>8</v>
      </c>
      <c r="C60" s="4" t="s">
        <v>49</v>
      </c>
      <c r="D60" s="40" t="s">
        <v>52</v>
      </c>
      <c r="E60" s="34">
        <v>1</v>
      </c>
      <c r="F60" s="34">
        <v>16</v>
      </c>
      <c r="G60" s="34">
        <v>82912.5</v>
      </c>
      <c r="H60" s="247">
        <f t="shared" si="8"/>
        <v>1.9957565226936219E-3</v>
      </c>
      <c r="I60" s="247">
        <f t="shared" si="6"/>
        <v>1.0660980810234541E-3</v>
      </c>
      <c r="J60" s="248">
        <f t="shared" si="5"/>
        <v>58</v>
      </c>
      <c r="K60" s="249">
        <f t="shared" si="3"/>
        <v>1.9957565226936219E-3</v>
      </c>
      <c r="L60" s="247">
        <f>+VLOOKUP(D60,'Juicio Expertos'!$D$3:$K$61,8,0)</f>
        <v>1.0000000000000002E-2</v>
      </c>
      <c r="M60" s="247">
        <f t="shared" si="7"/>
        <v>1.1995756522693624E-2</v>
      </c>
    </row>
    <row r="62" spans="2:13" x14ac:dyDescent="0.25">
      <c r="E62" t="s">
        <v>610</v>
      </c>
      <c r="F62">
        <f>+'Data Proyectos'!F94*9</f>
        <v>23335.714285714283</v>
      </c>
      <c r="G62" s="80">
        <f>+SUM(F3:F37)/F62*100</f>
        <v>27.387419651056028</v>
      </c>
      <c r="M62" s="244"/>
    </row>
    <row r="63" spans="2:13" x14ac:dyDescent="0.25">
      <c r="D63" t="s">
        <v>387</v>
      </c>
      <c r="K63">
        <v>0.13</v>
      </c>
      <c r="L63">
        <v>9</v>
      </c>
    </row>
    <row r="64" spans="2:13" x14ac:dyDescent="0.25">
      <c r="B64" t="s">
        <v>791</v>
      </c>
      <c r="C64" s="316">
        <v>560.15</v>
      </c>
      <c r="D64" s="33">
        <f>+C64/$C$68</f>
        <v>6.9870188511677048E-2</v>
      </c>
      <c r="K64" t="s">
        <v>813</v>
      </c>
      <c r="L64" t="s">
        <v>787</v>
      </c>
      <c r="M64" t="s">
        <v>814</v>
      </c>
    </row>
    <row r="65" spans="2:36" x14ac:dyDescent="0.25">
      <c r="B65" t="s">
        <v>210</v>
      </c>
      <c r="C65">
        <v>1858.22</v>
      </c>
      <c r="D65" s="33">
        <f>+C65/$C$68</f>
        <v>0.23178466784998397</v>
      </c>
      <c r="H65" t="s">
        <v>332</v>
      </c>
      <c r="J65" t="s">
        <v>808</v>
      </c>
      <c r="K65" s="244">
        <f>+SUM(K3:K60)</f>
        <v>0.47668796373799283</v>
      </c>
      <c r="L65" s="244">
        <f>+AVERAGE(L3:L60)</f>
        <v>7.9853448275862049E-2</v>
      </c>
      <c r="M65" s="244">
        <f>+K65*0.1+L65*0.9</f>
        <v>0.11953689982207513</v>
      </c>
    </row>
    <row r="66" spans="2:36" x14ac:dyDescent="0.25">
      <c r="B66" t="s">
        <v>20</v>
      </c>
      <c r="C66">
        <v>716.57</v>
      </c>
      <c r="D66" s="33">
        <f>+C66/$C$68</f>
        <v>8.9381203216660585E-2</v>
      </c>
      <c r="I66" s="80"/>
      <c r="J66" t="s">
        <v>809</v>
      </c>
      <c r="K66" s="244">
        <f>+K65</f>
        <v>0.47668796373799283</v>
      </c>
      <c r="L66" s="244">
        <f>+L65</f>
        <v>7.9853448275862049E-2</v>
      </c>
      <c r="M66" s="244">
        <f>+K66*0.25+L66*0.9*0.75</f>
        <v>0.17307306852070509</v>
      </c>
    </row>
    <row r="67" spans="2:36" x14ac:dyDescent="0.25">
      <c r="B67" t="s">
        <v>8</v>
      </c>
      <c r="C67">
        <v>4882.07</v>
      </c>
      <c r="D67" s="33">
        <f>+C67/$C$68</f>
        <v>0.60896394042167834</v>
      </c>
      <c r="J67" t="s">
        <v>810</v>
      </c>
      <c r="K67" s="244">
        <f t="shared" ref="K67:L68" si="9">+K66</f>
        <v>0.47668796373799283</v>
      </c>
      <c r="L67" s="244">
        <f t="shared" si="9"/>
        <v>7.9853448275862049E-2</v>
      </c>
      <c r="M67" s="244">
        <f>+K67*0.75+L67*0.25</f>
        <v>0.3774793348724601</v>
      </c>
    </row>
    <row r="68" spans="2:36" x14ac:dyDescent="0.25">
      <c r="B68" t="s">
        <v>604</v>
      </c>
      <c r="C68">
        <f>SUBTOTAL(9,C64:C67)</f>
        <v>8017.01</v>
      </c>
      <c r="J68" t="s">
        <v>811</v>
      </c>
      <c r="K68" s="244">
        <f t="shared" si="9"/>
        <v>0.47668796373799283</v>
      </c>
      <c r="L68" s="244">
        <f t="shared" si="9"/>
        <v>7.9853448275862049E-2</v>
      </c>
      <c r="M68" s="244">
        <f>+K68*0.9+L68*0.1</f>
        <v>0.43700451219177977</v>
      </c>
    </row>
    <row r="69" spans="2:36" x14ac:dyDescent="0.25">
      <c r="J69" t="s">
        <v>812</v>
      </c>
    </row>
    <row r="70" spans="2:36" ht="15.75" thickBot="1" x14ac:dyDescent="0.3">
      <c r="K70" s="244"/>
      <c r="L70" s="244"/>
      <c r="M70" s="244"/>
    </row>
    <row r="71" spans="2:36" ht="15.75" thickBot="1" x14ac:dyDescent="0.3">
      <c r="G71" s="432" t="s">
        <v>651</v>
      </c>
      <c r="H71" s="433"/>
      <c r="I71" s="433"/>
      <c r="J71" s="433"/>
      <c r="K71" s="433"/>
      <c r="L71" s="433"/>
      <c r="M71" s="432" t="s">
        <v>652</v>
      </c>
      <c r="N71" s="433"/>
      <c r="O71" s="433"/>
      <c r="P71" s="433"/>
      <c r="Q71" s="433"/>
      <c r="R71" s="434"/>
      <c r="S71" s="432" t="s">
        <v>653</v>
      </c>
      <c r="T71" s="433"/>
      <c r="U71" s="433"/>
      <c r="V71" s="433"/>
      <c r="W71" s="433"/>
      <c r="X71" s="434"/>
      <c r="Y71" s="433" t="s">
        <v>654</v>
      </c>
      <c r="Z71" s="433"/>
      <c r="AA71" s="433"/>
      <c r="AB71" s="433"/>
      <c r="AC71" s="433"/>
      <c r="AD71" s="433"/>
      <c r="AE71" s="432" t="s">
        <v>690</v>
      </c>
      <c r="AF71" s="433"/>
      <c r="AG71" s="433"/>
      <c r="AH71" s="433"/>
      <c r="AI71" s="433"/>
      <c r="AJ71" s="434"/>
    </row>
    <row r="72" spans="2:36" ht="15.75" thickBot="1" x14ac:dyDescent="0.3">
      <c r="G72" s="346" t="s">
        <v>689</v>
      </c>
      <c r="H72" s="432" t="s">
        <v>683</v>
      </c>
      <c r="I72" s="433"/>
      <c r="J72" s="434"/>
      <c r="K72" s="433" t="s">
        <v>820</v>
      </c>
      <c r="L72" s="434"/>
      <c r="M72" s="346" t="s">
        <v>689</v>
      </c>
      <c r="N72" s="432" t="s">
        <v>683</v>
      </c>
      <c r="O72" s="433"/>
      <c r="P72" s="434"/>
      <c r="Q72" s="433" t="s">
        <v>820</v>
      </c>
      <c r="R72" s="434"/>
      <c r="S72" s="437" t="s">
        <v>688</v>
      </c>
      <c r="T72" s="438"/>
      <c r="U72" s="286" t="s">
        <v>593</v>
      </c>
      <c r="V72" s="286" t="s">
        <v>787</v>
      </c>
      <c r="W72" s="435" t="s">
        <v>789</v>
      </c>
      <c r="X72" s="436"/>
      <c r="Y72" s="437" t="s">
        <v>688</v>
      </c>
      <c r="Z72" s="438"/>
      <c r="AA72" s="286" t="s">
        <v>593</v>
      </c>
      <c r="AB72" s="286" t="s">
        <v>787</v>
      </c>
      <c r="AC72" s="435" t="s">
        <v>789</v>
      </c>
      <c r="AD72" s="439"/>
      <c r="AE72" s="440" t="s">
        <v>688</v>
      </c>
      <c r="AF72" s="438"/>
      <c r="AG72" s="286" t="s">
        <v>593</v>
      </c>
      <c r="AH72" s="286" t="s">
        <v>787</v>
      </c>
      <c r="AI72" s="435" t="s">
        <v>789</v>
      </c>
      <c r="AJ72" s="436"/>
    </row>
    <row r="73" spans="2:36" ht="15.75" thickBot="1" x14ac:dyDescent="0.3">
      <c r="F73" t="s">
        <v>818</v>
      </c>
      <c r="G73" s="341" t="s">
        <v>821</v>
      </c>
      <c r="H73" s="341" t="s">
        <v>821</v>
      </c>
      <c r="I73" s="341" t="s">
        <v>813</v>
      </c>
      <c r="J73" s="341" t="s">
        <v>787</v>
      </c>
      <c r="K73" s="435" t="s">
        <v>789</v>
      </c>
      <c r="L73" s="439"/>
      <c r="M73" s="339" t="s">
        <v>821</v>
      </c>
      <c r="N73" s="340" t="s">
        <v>821</v>
      </c>
      <c r="O73" s="341" t="s">
        <v>813</v>
      </c>
      <c r="P73" s="342" t="s">
        <v>787</v>
      </c>
      <c r="Q73" s="439" t="s">
        <v>789</v>
      </c>
      <c r="R73" s="436"/>
    </row>
    <row r="74" spans="2:36" x14ac:dyDescent="0.25">
      <c r="F74" s="278" t="s">
        <v>815</v>
      </c>
      <c r="G74" s="273">
        <v>0.15</v>
      </c>
      <c r="H74" s="284">
        <v>0.15</v>
      </c>
      <c r="I74" s="284">
        <f>+D64</f>
        <v>6.9870188511677048E-2</v>
      </c>
      <c r="J74" s="304">
        <v>0</v>
      </c>
      <c r="K74" s="300">
        <f t="shared" ref="K74:K77" si="10">+G74</f>
        <v>0.15</v>
      </c>
      <c r="L74" s="308">
        <f>+H74*$H$78+I74*$I$78+J74*$J$78</f>
        <v>7.7883169660509344E-2</v>
      </c>
      <c r="M74" s="347">
        <v>0</v>
      </c>
      <c r="N74" s="273">
        <v>0</v>
      </c>
      <c r="O74" s="284">
        <f>+$H$61</f>
        <v>0</v>
      </c>
      <c r="P74" s="350">
        <v>0</v>
      </c>
      <c r="Q74" s="352">
        <f t="shared" ref="Q74:Q77" si="11">+M74</f>
        <v>0</v>
      </c>
      <c r="R74" s="353">
        <v>0</v>
      </c>
      <c r="S74" s="310">
        <v>0.1</v>
      </c>
      <c r="T74" s="284">
        <v>0.15</v>
      </c>
      <c r="U74" s="284">
        <f>+R74*0.75+S74*0.25</f>
        <v>2.5000000000000001E-2</v>
      </c>
      <c r="V74" s="304">
        <v>0.25</v>
      </c>
      <c r="W74" s="300">
        <f t="shared" ref="W74:W77" si="12">+S74</f>
        <v>0.1</v>
      </c>
      <c r="X74" s="308" t="e">
        <f>+T74*#REF!+U74*#REF!+V74*#REF!</f>
        <v>#REF!</v>
      </c>
      <c r="Y74" s="273">
        <v>0.1</v>
      </c>
      <c r="Z74" s="284">
        <v>0.15</v>
      </c>
      <c r="AA74" s="284">
        <f>+$H$61</f>
        <v>0</v>
      </c>
      <c r="AB74" s="304">
        <v>0.2</v>
      </c>
      <c r="AC74" s="300">
        <f>+Y74</f>
        <v>0.1</v>
      </c>
      <c r="AD74" s="308" t="e">
        <f>+Z74*#REF!+AA74*#REF!+AB74*#REF!</f>
        <v>#REF!</v>
      </c>
      <c r="AE74" s="273">
        <v>0.1</v>
      </c>
      <c r="AF74" s="284">
        <v>0.25</v>
      </c>
      <c r="AG74" s="284">
        <f>+$H$61</f>
        <v>0</v>
      </c>
      <c r="AH74" s="304">
        <v>0.15</v>
      </c>
      <c r="AI74" s="300">
        <f>+AE74</f>
        <v>0.1</v>
      </c>
      <c r="AJ74" s="308" t="e">
        <f>+AF74*#REF!+AG74*#REF!+AH74*#REF!</f>
        <v>#REF!</v>
      </c>
    </row>
    <row r="75" spans="2:36" x14ac:dyDescent="0.25">
      <c r="F75" s="279" t="s">
        <v>11</v>
      </c>
      <c r="G75" s="267">
        <v>0.1</v>
      </c>
      <c r="H75" s="266">
        <v>0.3</v>
      </c>
      <c r="I75" s="266">
        <f>+D65</f>
        <v>0.23178466784998397</v>
      </c>
      <c r="J75" s="305">
        <v>0</v>
      </c>
      <c r="K75" s="301">
        <f t="shared" si="10"/>
        <v>0.1</v>
      </c>
      <c r="L75" s="308">
        <f>+H75*$H$78+I75*$I$78+J75*$J$78</f>
        <v>0.23860620106498559</v>
      </c>
      <c r="M75" s="348">
        <v>0</v>
      </c>
      <c r="N75" s="267">
        <v>0</v>
      </c>
      <c r="O75" s="266">
        <f t="shared" ref="O75:O76" si="13">+$H$61</f>
        <v>0</v>
      </c>
      <c r="P75" s="350">
        <v>0</v>
      </c>
      <c r="Q75" s="301">
        <f t="shared" si="11"/>
        <v>0</v>
      </c>
      <c r="R75" s="344">
        <v>0</v>
      </c>
      <c r="S75" s="311">
        <v>0.2</v>
      </c>
      <c r="T75" s="266">
        <v>0.3</v>
      </c>
      <c r="U75" s="266">
        <f t="shared" ref="U75:U77" si="14">+$H$61</f>
        <v>0</v>
      </c>
      <c r="V75" s="305">
        <v>0.25</v>
      </c>
      <c r="W75" s="301">
        <f t="shared" si="12"/>
        <v>0.2</v>
      </c>
      <c r="X75" s="308" t="e">
        <f>+T75*#REF!+U75*#REF!+V75*#REF!</f>
        <v>#REF!</v>
      </c>
      <c r="Y75" s="267">
        <v>0.2</v>
      </c>
      <c r="Z75" s="266">
        <v>0.3</v>
      </c>
      <c r="AA75" s="266">
        <f t="shared" ref="AA75:AA77" si="15">+$H$61</f>
        <v>0</v>
      </c>
      <c r="AB75" s="305">
        <v>0.2</v>
      </c>
      <c r="AC75" s="301">
        <f>+Y75</f>
        <v>0.2</v>
      </c>
      <c r="AD75" s="308" t="e">
        <f>+Z75*#REF!+AA75*#REF!+AB75*#REF!</f>
        <v>#REF!</v>
      </c>
      <c r="AE75" s="267">
        <v>0.2</v>
      </c>
      <c r="AF75" s="266">
        <v>0.4</v>
      </c>
      <c r="AG75" s="266">
        <f t="shared" ref="AG75:AG77" si="16">+$H$61</f>
        <v>0</v>
      </c>
      <c r="AH75" s="305">
        <v>0.15</v>
      </c>
      <c r="AI75" s="301">
        <f>+AE75</f>
        <v>0.2</v>
      </c>
      <c r="AJ75" s="308" t="e">
        <f>+AF75*#REF!+AG75*#REF!+AH75*#REF!</f>
        <v>#REF!</v>
      </c>
    </row>
    <row r="76" spans="2:36" x14ac:dyDescent="0.25">
      <c r="F76" s="279" t="s">
        <v>816</v>
      </c>
      <c r="G76" s="267">
        <v>0.15</v>
      </c>
      <c r="H76" s="266">
        <v>0.2</v>
      </c>
      <c r="I76" s="266">
        <f>+D66</f>
        <v>8.9381203216660585E-2</v>
      </c>
      <c r="J76" s="305">
        <v>0</v>
      </c>
      <c r="K76" s="301">
        <f t="shared" si="10"/>
        <v>0.15</v>
      </c>
      <c r="L76" s="308">
        <f>+H76*$H$78+I76*$I$78+J76*$J$78</f>
        <v>0.10044308289499453</v>
      </c>
      <c r="M76" s="348">
        <v>0</v>
      </c>
      <c r="N76" s="267">
        <v>0</v>
      </c>
      <c r="O76" s="266">
        <f t="shared" si="13"/>
        <v>0</v>
      </c>
      <c r="P76" s="350">
        <v>0</v>
      </c>
      <c r="Q76" s="301">
        <f t="shared" si="11"/>
        <v>0</v>
      </c>
      <c r="R76" s="344">
        <v>0</v>
      </c>
      <c r="S76" s="311">
        <v>0.2</v>
      </c>
      <c r="T76" s="266">
        <v>0.25</v>
      </c>
      <c r="U76" s="266">
        <f t="shared" si="14"/>
        <v>0</v>
      </c>
      <c r="V76" s="305">
        <v>0.25</v>
      </c>
      <c r="W76" s="301">
        <f t="shared" si="12"/>
        <v>0.2</v>
      </c>
      <c r="X76" s="308" t="e">
        <f>+T76*#REF!+U76*#REF!+V76*#REF!</f>
        <v>#REF!</v>
      </c>
      <c r="Y76" s="267">
        <v>0.2</v>
      </c>
      <c r="Z76" s="266">
        <v>0.25</v>
      </c>
      <c r="AA76" s="266">
        <f t="shared" si="15"/>
        <v>0</v>
      </c>
      <c r="AB76" s="305">
        <v>0.2</v>
      </c>
      <c r="AC76" s="301">
        <f t="shared" ref="AC76:AC77" si="17">+Y76</f>
        <v>0.2</v>
      </c>
      <c r="AD76" s="308" t="e">
        <f>+Z76*#REF!+AA76*#REF!+AB76*#REF!</f>
        <v>#REF!</v>
      </c>
      <c r="AE76" s="267">
        <v>0.2</v>
      </c>
      <c r="AF76" s="266">
        <v>0.35</v>
      </c>
      <c r="AG76" s="266">
        <f t="shared" si="16"/>
        <v>0</v>
      </c>
      <c r="AH76" s="305">
        <v>0.15</v>
      </c>
      <c r="AI76" s="301">
        <f t="shared" ref="AI76:AI77" si="18">+AE76</f>
        <v>0.2</v>
      </c>
      <c r="AJ76" s="308" t="e">
        <f>+AF76*#REF!+AG76*#REF!+AH76*#REF!</f>
        <v>#REF!</v>
      </c>
    </row>
    <row r="77" spans="2:36" ht="15.75" thickBot="1" x14ac:dyDescent="0.3">
      <c r="F77" s="279" t="s">
        <v>8</v>
      </c>
      <c r="G77" s="267">
        <v>0.1</v>
      </c>
      <c r="H77" s="266">
        <v>0.35</v>
      </c>
      <c r="I77" s="266">
        <f>+D67</f>
        <v>0.60896394042167834</v>
      </c>
      <c r="J77" s="305">
        <v>0</v>
      </c>
      <c r="K77" s="301">
        <f t="shared" si="10"/>
        <v>0.1</v>
      </c>
      <c r="L77" s="308">
        <f>+H77*$H$78+I77*$I$78+J77*$J$78</f>
        <v>0.58306754637951053</v>
      </c>
      <c r="M77" s="349">
        <v>0.1</v>
      </c>
      <c r="N77" s="269">
        <v>0.3</v>
      </c>
      <c r="O77" s="283">
        <f>+D67</f>
        <v>0.60896394042167834</v>
      </c>
      <c r="P77" s="351">
        <v>0.2</v>
      </c>
      <c r="Q77" s="302">
        <f t="shared" si="11"/>
        <v>0.1</v>
      </c>
      <c r="R77" s="345">
        <f>+N77*$N$78+O77*$O$78+P77*$P$78</f>
        <v>0.40358557616867141</v>
      </c>
      <c r="S77" s="311">
        <v>0.1</v>
      </c>
      <c r="T77" s="266">
        <v>0.3</v>
      </c>
      <c r="U77" s="266">
        <f t="shared" si="14"/>
        <v>0</v>
      </c>
      <c r="V77" s="305">
        <v>0.25</v>
      </c>
      <c r="W77" s="301">
        <f t="shared" si="12"/>
        <v>0.1</v>
      </c>
      <c r="X77" s="308" t="e">
        <f>+T77*#REF!+U77*#REF!+V77*#REF!</f>
        <v>#REF!</v>
      </c>
      <c r="Y77" s="267">
        <v>0.1</v>
      </c>
      <c r="Z77" s="266">
        <v>0.3</v>
      </c>
      <c r="AA77" s="266">
        <f t="shared" si="15"/>
        <v>0</v>
      </c>
      <c r="AB77" s="305">
        <v>0.2</v>
      </c>
      <c r="AC77" s="301">
        <f t="shared" si="17"/>
        <v>0.1</v>
      </c>
      <c r="AD77" s="308" t="e">
        <f>+Z77*#REF!+AA77*#REF!+AB77*#REF!</f>
        <v>#REF!</v>
      </c>
      <c r="AE77" s="267">
        <v>0.2</v>
      </c>
      <c r="AF77" s="266">
        <v>0.4</v>
      </c>
      <c r="AG77" s="266">
        <f t="shared" si="16"/>
        <v>0</v>
      </c>
      <c r="AH77" s="305">
        <v>0.15</v>
      </c>
      <c r="AI77" s="301">
        <f t="shared" si="18"/>
        <v>0.2</v>
      </c>
      <c r="AJ77" s="308" t="e">
        <f>+AF77*#REF!+AG77*#REF!+AH77*#REF!</f>
        <v>#REF!</v>
      </c>
    </row>
    <row r="78" spans="2:36" x14ac:dyDescent="0.25">
      <c r="F78" s="338" t="s">
        <v>819</v>
      </c>
      <c r="H78" s="315">
        <v>0.1</v>
      </c>
      <c r="I78" s="315">
        <v>0.9</v>
      </c>
      <c r="J78" s="315">
        <v>0</v>
      </c>
      <c r="N78" s="315">
        <v>0.4</v>
      </c>
      <c r="O78" s="315">
        <v>0.4</v>
      </c>
      <c r="P78" s="315">
        <v>0.2</v>
      </c>
      <c r="T78" s="315">
        <v>0.3</v>
      </c>
      <c r="U78" s="315">
        <v>0.3</v>
      </c>
      <c r="V78" s="315">
        <v>0.4</v>
      </c>
      <c r="Z78" s="315">
        <v>0.2</v>
      </c>
      <c r="AA78" s="315">
        <v>0.2</v>
      </c>
      <c r="AB78" s="315">
        <v>0.6</v>
      </c>
      <c r="AF78" s="315">
        <v>0.1</v>
      </c>
      <c r="AG78" s="315">
        <v>0.1</v>
      </c>
      <c r="AH78" s="315">
        <v>0.8</v>
      </c>
    </row>
  </sheetData>
  <sortState ref="B3:M60">
    <sortCondition descending="1" ref="F1"/>
  </sortState>
  <mergeCells count="17">
    <mergeCell ref="K73:L73"/>
    <mergeCell ref="K72:L72"/>
    <mergeCell ref="Q72:R72"/>
    <mergeCell ref="S72:T72"/>
    <mergeCell ref="AE71:AJ71"/>
    <mergeCell ref="AE72:AF72"/>
    <mergeCell ref="N72:P72"/>
    <mergeCell ref="Q73:R73"/>
    <mergeCell ref="AI72:AJ72"/>
    <mergeCell ref="H72:J72"/>
    <mergeCell ref="W72:X72"/>
    <mergeCell ref="Y72:Z72"/>
    <mergeCell ref="AC72:AD72"/>
    <mergeCell ref="G71:L71"/>
    <mergeCell ref="M71:R71"/>
    <mergeCell ref="S71:X71"/>
    <mergeCell ref="Y71:AD71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80"/>
  <sheetViews>
    <sheetView topLeftCell="E57" zoomScale="70" zoomScaleNormal="70" workbookViewId="0">
      <selection activeCell="H81" sqref="H81"/>
    </sheetView>
  </sheetViews>
  <sheetFormatPr baseColWidth="10" defaultRowHeight="15" x14ac:dyDescent="0.25"/>
  <cols>
    <col min="2" max="2" width="29.85546875" customWidth="1"/>
    <col min="3" max="3" width="29.42578125" customWidth="1"/>
    <col min="4" max="4" width="78.5703125" bestFit="1" customWidth="1"/>
    <col min="5" max="5" width="20.42578125" customWidth="1"/>
    <col min="6" max="6" width="13.7109375" customWidth="1"/>
    <col min="7" max="7" width="13.140625" customWidth="1"/>
    <col min="8" max="12" width="11.42578125" customWidth="1"/>
    <col min="13" max="13" width="12.7109375" customWidth="1"/>
  </cols>
  <sheetData>
    <row r="1" spans="2:19" x14ac:dyDescent="0.25">
      <c r="E1" t="s">
        <v>329</v>
      </c>
      <c r="F1" t="s">
        <v>605</v>
      </c>
      <c r="H1" s="206"/>
      <c r="I1" s="206" t="s">
        <v>569</v>
      </c>
      <c r="J1" s="206"/>
      <c r="K1" s="207" t="s">
        <v>575</v>
      </c>
      <c r="L1" s="207" t="s">
        <v>570</v>
      </c>
      <c r="M1" s="207" t="s">
        <v>571</v>
      </c>
    </row>
    <row r="2" spans="2:19" x14ac:dyDescent="0.25">
      <c r="B2" s="198" t="s">
        <v>8</v>
      </c>
      <c r="C2" s="196" t="s">
        <v>28</v>
      </c>
      <c r="D2" s="40" t="s">
        <v>38</v>
      </c>
      <c r="E2" s="34">
        <v>20</v>
      </c>
      <c r="F2" s="34">
        <v>158.76</v>
      </c>
      <c r="G2" s="34">
        <v>2000667.3187500001</v>
      </c>
      <c r="H2" s="247">
        <f t="shared" ref="H2:H33" si="0">+G2/$F$61</f>
        <v>1.528393673605806E-2</v>
      </c>
      <c r="I2" s="247">
        <f t="shared" ref="I2:I33" si="1">+E2/SUM($E$2:$E$59)</f>
        <v>2.1321961620469083E-2</v>
      </c>
      <c r="J2" s="248">
        <f t="shared" ref="J2:J10" si="2">+J1+1</f>
        <v>1</v>
      </c>
      <c r="K2" s="249">
        <f t="shared" ref="K2:K33" si="3">+H2</f>
        <v>1.528393673605806E-2</v>
      </c>
      <c r="L2" s="247">
        <f>+VLOOKUP(D2,'Juicio Expertos'!$D$3:$K$61,8,0)</f>
        <v>0.03</v>
      </c>
      <c r="M2" s="247">
        <f t="shared" ref="M2:M33" si="4">+K2+L2</f>
        <v>4.5283936736058059E-2</v>
      </c>
      <c r="N2" s="80"/>
      <c r="O2" s="80"/>
      <c r="P2" s="80"/>
    </row>
    <row r="3" spans="2:19" x14ac:dyDescent="0.25">
      <c r="B3" s="198" t="s">
        <v>8</v>
      </c>
      <c r="C3" s="196" t="s">
        <v>42</v>
      </c>
      <c r="D3" s="40" t="s">
        <v>44</v>
      </c>
      <c r="E3" s="34">
        <v>49</v>
      </c>
      <c r="F3" s="34">
        <v>139.5</v>
      </c>
      <c r="G3" s="34">
        <v>1488800.7187500002</v>
      </c>
      <c r="H3" s="247">
        <f t="shared" si="0"/>
        <v>1.1373573099694424E-2</v>
      </c>
      <c r="I3" s="247">
        <f t="shared" si="1"/>
        <v>5.2238805970149252E-2</v>
      </c>
      <c r="J3" s="248">
        <f t="shared" si="2"/>
        <v>2</v>
      </c>
      <c r="K3" s="249">
        <f t="shared" si="3"/>
        <v>1.1373573099694424E-2</v>
      </c>
      <c r="L3" s="247">
        <f>+VLOOKUP(D3,'Juicio Expertos'!$D$3:$K$61,8,0)</f>
        <v>0.05</v>
      </c>
      <c r="M3" s="247">
        <f t="shared" si="4"/>
        <v>6.1373573099694427E-2</v>
      </c>
      <c r="N3" s="80"/>
      <c r="O3" s="80"/>
      <c r="P3" s="80"/>
      <c r="R3" s="80"/>
      <c r="S3" s="80"/>
    </row>
    <row r="4" spans="2:19" x14ac:dyDescent="0.25">
      <c r="B4" s="198" t="s">
        <v>8</v>
      </c>
      <c r="C4" s="196" t="s">
        <v>380</v>
      </c>
      <c r="D4" s="40" t="s">
        <v>381</v>
      </c>
      <c r="E4" s="34">
        <v>27</v>
      </c>
      <c r="F4" s="34">
        <v>351</v>
      </c>
      <c r="G4" s="34">
        <v>1249880.8125</v>
      </c>
      <c r="H4" s="247">
        <f t="shared" si="0"/>
        <v>9.5483637318563783E-3</v>
      </c>
      <c r="I4" s="247">
        <f t="shared" si="1"/>
        <v>2.8784648187633263E-2</v>
      </c>
      <c r="J4" s="248">
        <f t="shared" si="2"/>
        <v>3</v>
      </c>
      <c r="K4" s="249">
        <f t="shared" si="3"/>
        <v>9.5483637318563783E-3</v>
      </c>
      <c r="L4" s="247">
        <f>+VLOOKUP(D4,'Juicio Expertos'!$D$3:$K$61,8,0)</f>
        <v>0.1</v>
      </c>
      <c r="M4" s="247">
        <f t="shared" si="4"/>
        <v>0.10954836373185639</v>
      </c>
      <c r="N4" s="80"/>
      <c r="O4" s="80"/>
      <c r="P4" s="80"/>
      <c r="R4" s="80"/>
      <c r="S4" s="80"/>
    </row>
    <row r="5" spans="2:19" x14ac:dyDescent="0.25">
      <c r="B5" s="4" t="s">
        <v>8</v>
      </c>
      <c r="C5" s="4" t="s">
        <v>54</v>
      </c>
      <c r="D5" s="40" t="s">
        <v>55</v>
      </c>
      <c r="E5" s="34">
        <v>11</v>
      </c>
      <c r="F5" s="34">
        <v>152.1</v>
      </c>
      <c r="G5" s="34">
        <v>1050991.3125</v>
      </c>
      <c r="H5" s="247">
        <f t="shared" si="0"/>
        <v>8.028963426279602E-3</v>
      </c>
      <c r="I5" s="247">
        <f t="shared" si="1"/>
        <v>1.1727078891257996E-2</v>
      </c>
      <c r="J5" s="248">
        <f t="shared" si="2"/>
        <v>4</v>
      </c>
      <c r="K5" s="249">
        <f t="shared" si="3"/>
        <v>8.028963426279602E-3</v>
      </c>
      <c r="L5" s="247">
        <f>+VLOOKUP(D5,'Juicio Expertos'!$D$3:$K$61,8,0)</f>
        <v>0.05</v>
      </c>
      <c r="M5" s="247">
        <f t="shared" si="4"/>
        <v>5.8028963426279605E-2</v>
      </c>
      <c r="N5" s="80"/>
      <c r="O5" s="80"/>
      <c r="P5" s="80"/>
      <c r="R5" s="80"/>
      <c r="S5" s="80"/>
    </row>
    <row r="6" spans="2:19" x14ac:dyDescent="0.25">
      <c r="B6" s="198" t="s">
        <v>11</v>
      </c>
      <c r="C6" s="196" t="s">
        <v>365</v>
      </c>
      <c r="D6" s="40" t="s">
        <v>21</v>
      </c>
      <c r="E6" s="34">
        <v>23</v>
      </c>
      <c r="F6" s="34">
        <v>359.1</v>
      </c>
      <c r="G6" s="34">
        <v>979686.5625</v>
      </c>
      <c r="H6" s="247">
        <f t="shared" si="0"/>
        <v>7.4842365355233002E-3</v>
      </c>
      <c r="I6" s="247">
        <f t="shared" si="1"/>
        <v>2.4520255863539446E-2</v>
      </c>
      <c r="J6" s="248">
        <f t="shared" si="2"/>
        <v>5</v>
      </c>
      <c r="K6" s="249">
        <f t="shared" si="3"/>
        <v>7.4842365355233002E-3</v>
      </c>
      <c r="L6" s="247">
        <f>+VLOOKUP(D6,'Juicio Expertos'!$D$3:$K$61,8,0)</f>
        <v>0.24</v>
      </c>
      <c r="M6" s="247">
        <f t="shared" si="4"/>
        <v>0.24748423653552329</v>
      </c>
      <c r="N6" s="80"/>
      <c r="O6" s="80"/>
      <c r="P6" s="80"/>
      <c r="R6" s="80"/>
      <c r="S6" s="80"/>
    </row>
    <row r="7" spans="2:19" x14ac:dyDescent="0.25">
      <c r="B7" s="198" t="s">
        <v>8</v>
      </c>
      <c r="C7" s="196" t="s">
        <v>28</v>
      </c>
      <c r="D7" s="40" t="s">
        <v>34</v>
      </c>
      <c r="E7" s="34">
        <v>30</v>
      </c>
      <c r="F7" s="34">
        <v>220.5</v>
      </c>
      <c r="G7" s="34">
        <v>969543.6</v>
      </c>
      <c r="H7" s="247">
        <f t="shared" si="0"/>
        <v>7.4067501909854845E-3</v>
      </c>
      <c r="I7" s="247">
        <f t="shared" si="1"/>
        <v>3.1982942430703626E-2</v>
      </c>
      <c r="J7" s="248">
        <f t="shared" si="2"/>
        <v>6</v>
      </c>
      <c r="K7" s="249">
        <f t="shared" si="3"/>
        <v>7.4067501909854845E-3</v>
      </c>
      <c r="L7" s="247">
        <f>+VLOOKUP(D7,'Juicio Expertos'!$D$3:$K$61,8,0)</f>
        <v>0.06</v>
      </c>
      <c r="M7" s="247">
        <f t="shared" si="4"/>
        <v>6.7406750190985479E-2</v>
      </c>
    </row>
    <row r="8" spans="2:19" x14ac:dyDescent="0.25">
      <c r="B8" s="198" t="s">
        <v>8</v>
      </c>
      <c r="C8" s="196" t="s">
        <v>28</v>
      </c>
      <c r="D8" s="40" t="s">
        <v>567</v>
      </c>
      <c r="E8" s="34">
        <v>37</v>
      </c>
      <c r="F8" s="34">
        <v>265.5</v>
      </c>
      <c r="G8" s="34">
        <v>938732.8125</v>
      </c>
      <c r="H8" s="247">
        <f t="shared" si="0"/>
        <v>7.171373663101604E-3</v>
      </c>
      <c r="I8" s="247">
        <f t="shared" si="1"/>
        <v>3.9445628997867806E-2</v>
      </c>
      <c r="J8" s="248">
        <f t="shared" si="2"/>
        <v>7</v>
      </c>
      <c r="K8" s="249">
        <f t="shared" si="3"/>
        <v>7.171373663101604E-3</v>
      </c>
      <c r="L8" s="247">
        <f>+VLOOKUP(D8,'Juicio Expertos'!$D$3:$K$61,8,0)</f>
        <v>0.05</v>
      </c>
      <c r="M8" s="247">
        <f t="shared" si="4"/>
        <v>5.7171373663101606E-2</v>
      </c>
      <c r="N8" s="80"/>
      <c r="O8" s="80"/>
      <c r="R8" s="80"/>
      <c r="S8" s="80"/>
    </row>
    <row r="9" spans="2:19" x14ac:dyDescent="0.25">
      <c r="B9" s="198" t="s">
        <v>8</v>
      </c>
      <c r="C9" s="196" t="s">
        <v>380</v>
      </c>
      <c r="D9" s="40" t="s">
        <v>394</v>
      </c>
      <c r="E9" s="34">
        <v>6</v>
      </c>
      <c r="F9" s="34">
        <v>159.30000000000001</v>
      </c>
      <c r="G9" s="34">
        <v>930893.8125</v>
      </c>
      <c r="H9" s="247">
        <f t="shared" si="0"/>
        <v>7.1114882543926658E-3</v>
      </c>
      <c r="I9" s="247">
        <f t="shared" si="1"/>
        <v>6.3965884861407248E-3</v>
      </c>
      <c r="J9" s="248">
        <f t="shared" si="2"/>
        <v>8</v>
      </c>
      <c r="K9" s="249">
        <f t="shared" si="3"/>
        <v>7.1114882543926658E-3</v>
      </c>
      <c r="L9" s="247">
        <f>+VLOOKUP(D9,'Juicio Expertos'!$D$3:$K$61,8,0)</f>
        <v>4.0000000000000008E-2</v>
      </c>
      <c r="M9" s="247">
        <f t="shared" si="4"/>
        <v>4.7111488254392674E-2</v>
      </c>
      <c r="N9" s="80"/>
      <c r="O9" s="80"/>
      <c r="P9" s="80"/>
      <c r="R9" s="80"/>
      <c r="S9" s="80"/>
    </row>
    <row r="10" spans="2:19" x14ac:dyDescent="0.25">
      <c r="B10" s="198" t="s">
        <v>11</v>
      </c>
      <c r="C10" s="196" t="s">
        <v>366</v>
      </c>
      <c r="D10" s="40" t="s">
        <v>396</v>
      </c>
      <c r="E10" s="34">
        <v>14</v>
      </c>
      <c r="F10" s="34">
        <v>128</v>
      </c>
      <c r="G10" s="34">
        <v>905706</v>
      </c>
      <c r="H10" s="247">
        <f t="shared" si="0"/>
        <v>6.9190679908326964E-3</v>
      </c>
      <c r="I10" s="247">
        <f t="shared" si="1"/>
        <v>1.4925373134328358E-2</v>
      </c>
      <c r="J10" s="248">
        <f t="shared" si="2"/>
        <v>9</v>
      </c>
      <c r="K10" s="249">
        <f t="shared" si="3"/>
        <v>6.9190679908326964E-3</v>
      </c>
      <c r="L10" s="247">
        <f>+VLOOKUP(D10,'Juicio Expertos'!$D$3:$K$61,8,0)</f>
        <v>2.5000000000000001E-2</v>
      </c>
      <c r="M10" s="247">
        <f t="shared" si="4"/>
        <v>3.1919067990832696E-2</v>
      </c>
      <c r="N10" s="80"/>
      <c r="O10" s="80"/>
      <c r="P10" s="80"/>
      <c r="R10" s="80"/>
      <c r="S10" s="80"/>
    </row>
    <row r="11" spans="2:19" x14ac:dyDescent="0.25">
      <c r="B11" s="198" t="s">
        <v>11</v>
      </c>
      <c r="C11" s="196" t="s">
        <v>366</v>
      </c>
      <c r="D11" s="40" t="s">
        <v>377</v>
      </c>
      <c r="E11" s="34">
        <v>22</v>
      </c>
      <c r="F11" s="34">
        <v>384.5</v>
      </c>
      <c r="G11" s="34">
        <v>886447.6875</v>
      </c>
      <c r="H11" s="247">
        <f t="shared" si="0"/>
        <v>6.7719456646294883E-3</v>
      </c>
      <c r="I11" s="247">
        <f t="shared" si="1"/>
        <v>2.3454157782515993E-2</v>
      </c>
      <c r="J11" s="248">
        <v>1</v>
      </c>
      <c r="K11" s="249">
        <f t="shared" si="3"/>
        <v>6.7719456646294883E-3</v>
      </c>
      <c r="L11" s="247">
        <f>+VLOOKUP(D11,'Juicio Expertos'!$D$3:$K$61,8,0)</f>
        <v>8.0000000000000016E-2</v>
      </c>
      <c r="M11" s="247">
        <f t="shared" si="4"/>
        <v>8.6771945664629507E-2</v>
      </c>
      <c r="N11" s="80"/>
      <c r="O11" s="80"/>
      <c r="P11" s="80"/>
      <c r="R11" s="80"/>
      <c r="S11" s="80"/>
    </row>
    <row r="12" spans="2:19" x14ac:dyDescent="0.25">
      <c r="B12" s="4" t="s">
        <v>8</v>
      </c>
      <c r="C12" s="4" t="s">
        <v>54</v>
      </c>
      <c r="D12" s="40" t="s">
        <v>56</v>
      </c>
      <c r="E12" s="34">
        <v>47</v>
      </c>
      <c r="F12" s="34">
        <v>202.49999999999997</v>
      </c>
      <c r="G12" s="34">
        <v>856046.4375</v>
      </c>
      <c r="H12" s="247">
        <f t="shared" si="0"/>
        <v>6.5396977654698244E-3</v>
      </c>
      <c r="I12" s="247">
        <f t="shared" si="1"/>
        <v>5.0106609808102345E-2</v>
      </c>
      <c r="J12" s="248">
        <f t="shared" ref="J12:J59" si="5">+J11+1</f>
        <v>2</v>
      </c>
      <c r="K12" s="249">
        <f t="shared" si="3"/>
        <v>6.5396977654698244E-3</v>
      </c>
      <c r="L12" s="247">
        <f>+VLOOKUP(D12,'Juicio Expertos'!$D$3:$K$61,8,0)</f>
        <v>0.03</v>
      </c>
      <c r="M12" s="247">
        <f t="shared" si="4"/>
        <v>3.6539697765469822E-2</v>
      </c>
      <c r="R12" s="80"/>
      <c r="S12" s="80"/>
    </row>
    <row r="13" spans="2:19" x14ac:dyDescent="0.25">
      <c r="B13" s="196" t="s">
        <v>8</v>
      </c>
      <c r="C13" s="197" t="s">
        <v>28</v>
      </c>
      <c r="D13" s="40" t="s">
        <v>32</v>
      </c>
      <c r="E13" s="34">
        <v>9</v>
      </c>
      <c r="F13" s="34">
        <v>158.60000000000002</v>
      </c>
      <c r="G13" s="34">
        <v>834181.40625</v>
      </c>
      <c r="H13" s="247">
        <f t="shared" si="0"/>
        <v>6.3726616214667686E-3</v>
      </c>
      <c r="I13" s="247">
        <f t="shared" si="1"/>
        <v>9.5948827292110881E-3</v>
      </c>
      <c r="J13" s="248">
        <f t="shared" si="5"/>
        <v>3</v>
      </c>
      <c r="K13" s="249">
        <f t="shared" si="3"/>
        <v>6.3726616214667686E-3</v>
      </c>
      <c r="L13" s="247">
        <f>+VLOOKUP(D13,'Juicio Expertos'!$D$3:$K$61,8,0)</f>
        <v>0.13999999999999999</v>
      </c>
      <c r="M13" s="247">
        <f t="shared" si="4"/>
        <v>0.14637266162146675</v>
      </c>
      <c r="N13" s="80"/>
      <c r="O13" s="80"/>
      <c r="P13" s="80"/>
      <c r="R13" s="80"/>
      <c r="S13" s="80"/>
    </row>
    <row r="14" spans="2:19" x14ac:dyDescent="0.25">
      <c r="B14" s="4" t="s">
        <v>8</v>
      </c>
      <c r="C14" s="4" t="s">
        <v>53</v>
      </c>
      <c r="D14" s="40" t="s">
        <v>576</v>
      </c>
      <c r="E14" s="34">
        <v>22</v>
      </c>
      <c r="F14" s="34">
        <v>150.29999999999998</v>
      </c>
      <c r="G14" s="34">
        <v>780828.46875</v>
      </c>
      <c r="H14" s="247">
        <f t="shared" si="0"/>
        <v>5.9650761554621845E-3</v>
      </c>
      <c r="I14" s="247">
        <f t="shared" si="1"/>
        <v>2.3454157782515993E-2</v>
      </c>
      <c r="J14" s="248">
        <f t="shared" si="5"/>
        <v>4</v>
      </c>
      <c r="K14" s="249">
        <f t="shared" si="3"/>
        <v>5.9650761554621845E-3</v>
      </c>
      <c r="L14" s="247">
        <f>+VLOOKUP(D14,'Juicio Expertos'!$D$3:$K$61,8,0)</f>
        <v>0.13999999999999999</v>
      </c>
      <c r="M14" s="247">
        <f t="shared" si="4"/>
        <v>0.14596507615546217</v>
      </c>
      <c r="N14" s="80"/>
      <c r="O14" s="80"/>
      <c r="P14" s="80"/>
      <c r="R14" s="80"/>
      <c r="S14" s="80"/>
    </row>
    <row r="15" spans="2:19" x14ac:dyDescent="0.25">
      <c r="B15" s="4" t="s">
        <v>8</v>
      </c>
      <c r="C15" s="4" t="s">
        <v>54</v>
      </c>
      <c r="D15" s="40" t="s">
        <v>57</v>
      </c>
      <c r="E15" s="34">
        <v>23</v>
      </c>
      <c r="F15" s="34">
        <v>87.3</v>
      </c>
      <c r="G15" s="34">
        <v>772342.5</v>
      </c>
      <c r="H15" s="247">
        <f t="shared" si="0"/>
        <v>5.9002482811306338E-3</v>
      </c>
      <c r="I15" s="247">
        <f t="shared" si="1"/>
        <v>2.4520255863539446E-2</v>
      </c>
      <c r="J15" s="248">
        <f t="shared" si="5"/>
        <v>5</v>
      </c>
      <c r="K15" s="249">
        <f t="shared" si="3"/>
        <v>5.9002482811306338E-3</v>
      </c>
      <c r="L15" s="247">
        <f>+VLOOKUP(D15,'Juicio Expertos'!$D$3:$K$61,8,0)</f>
        <v>1.4999999999999999E-2</v>
      </c>
      <c r="M15" s="247">
        <f t="shared" si="4"/>
        <v>2.0900248281130632E-2</v>
      </c>
      <c r="N15" s="80"/>
      <c r="O15" s="80"/>
      <c r="P15" s="80"/>
      <c r="R15" s="80"/>
      <c r="S15" s="80"/>
    </row>
    <row r="16" spans="2:19" x14ac:dyDescent="0.25">
      <c r="B16" s="198" t="s">
        <v>11</v>
      </c>
      <c r="C16" s="196" t="s">
        <v>365</v>
      </c>
      <c r="D16" s="40" t="s">
        <v>598</v>
      </c>
      <c r="E16" s="34">
        <v>20</v>
      </c>
      <c r="F16" s="34">
        <v>278.70000000000005</v>
      </c>
      <c r="G16" s="34">
        <v>741011.625</v>
      </c>
      <c r="H16" s="247">
        <f t="shared" si="0"/>
        <v>5.6608985867074102E-3</v>
      </c>
      <c r="I16" s="247">
        <f t="shared" si="1"/>
        <v>2.1321961620469083E-2</v>
      </c>
      <c r="J16" s="248">
        <f t="shared" si="5"/>
        <v>6</v>
      </c>
      <c r="K16" s="249">
        <f t="shared" si="3"/>
        <v>5.6608985867074102E-3</v>
      </c>
      <c r="L16" s="247">
        <f>+VLOOKUP(D16,'Juicio Expertos'!$D$3:$K$61,8,0)</f>
        <v>0.03</v>
      </c>
      <c r="M16" s="247">
        <f t="shared" si="4"/>
        <v>3.5660898586707408E-2</v>
      </c>
      <c r="N16" s="80"/>
      <c r="O16" s="80"/>
      <c r="P16" s="80"/>
      <c r="R16" s="80"/>
      <c r="S16" s="80"/>
    </row>
    <row r="17" spans="2:19" x14ac:dyDescent="0.25">
      <c r="B17" s="4" t="s">
        <v>8</v>
      </c>
      <c r="C17" s="4" t="s">
        <v>42</v>
      </c>
      <c r="D17" s="40" t="s">
        <v>45</v>
      </c>
      <c r="E17" s="34">
        <v>25</v>
      </c>
      <c r="F17" s="34">
        <v>55.35</v>
      </c>
      <c r="G17" s="34">
        <v>733844.71875</v>
      </c>
      <c r="H17" s="247">
        <f t="shared" si="0"/>
        <v>5.6061475840336137E-3</v>
      </c>
      <c r="I17" s="247">
        <f t="shared" si="1"/>
        <v>2.6652452025586353E-2</v>
      </c>
      <c r="J17" s="248">
        <f t="shared" si="5"/>
        <v>7</v>
      </c>
      <c r="K17" s="249">
        <f t="shared" si="3"/>
        <v>5.6061475840336137E-3</v>
      </c>
      <c r="L17" s="247">
        <f>+VLOOKUP(D17,'Juicio Expertos'!$D$3:$K$61,8,0)</f>
        <v>0.03</v>
      </c>
      <c r="M17" s="247">
        <f t="shared" si="4"/>
        <v>3.5606147584033611E-2</v>
      </c>
      <c r="N17" s="80"/>
      <c r="O17" s="80"/>
      <c r="P17" s="80"/>
      <c r="R17" s="80"/>
      <c r="S17" s="80"/>
    </row>
    <row r="18" spans="2:19" x14ac:dyDescent="0.25">
      <c r="B18" s="198" t="s">
        <v>11</v>
      </c>
      <c r="C18" s="196" t="s">
        <v>366</v>
      </c>
      <c r="D18" s="40" t="s">
        <v>378</v>
      </c>
      <c r="E18" s="34">
        <v>16</v>
      </c>
      <c r="F18" s="34">
        <v>336</v>
      </c>
      <c r="G18" s="34">
        <v>710390.53125</v>
      </c>
      <c r="H18" s="247">
        <f t="shared" si="0"/>
        <v>5.4269712089381203E-3</v>
      </c>
      <c r="I18" s="247">
        <f t="shared" si="1"/>
        <v>1.7057569296375266E-2</v>
      </c>
      <c r="J18" s="248">
        <f t="shared" si="5"/>
        <v>8</v>
      </c>
      <c r="K18" s="249">
        <f t="shared" si="3"/>
        <v>5.4269712089381203E-3</v>
      </c>
      <c r="L18" s="247">
        <f>+VLOOKUP(D18,'Juicio Expertos'!$D$3:$K$61,8,0)</f>
        <v>2.0000000000000004E-2</v>
      </c>
      <c r="M18" s="247">
        <f t="shared" si="4"/>
        <v>2.5426971208938123E-2</v>
      </c>
      <c r="N18" s="80"/>
      <c r="O18" s="80"/>
      <c r="P18" s="80"/>
      <c r="R18" s="80"/>
      <c r="S18" s="80"/>
    </row>
    <row r="19" spans="2:19" x14ac:dyDescent="0.25">
      <c r="B19" s="198" t="s">
        <v>8</v>
      </c>
      <c r="C19" s="196" t="s">
        <v>28</v>
      </c>
      <c r="D19" s="40" t="s">
        <v>40</v>
      </c>
      <c r="E19" s="34">
        <v>14</v>
      </c>
      <c r="F19" s="34">
        <v>92.43</v>
      </c>
      <c r="G19" s="34">
        <v>704278.875</v>
      </c>
      <c r="H19" s="247">
        <f t="shared" si="0"/>
        <v>5.3802817035905268E-3</v>
      </c>
      <c r="I19" s="247">
        <f t="shared" si="1"/>
        <v>1.4925373134328358E-2</v>
      </c>
      <c r="J19" s="248">
        <f t="shared" si="5"/>
        <v>9</v>
      </c>
      <c r="K19" s="249">
        <f t="shared" si="3"/>
        <v>5.3802817035905268E-3</v>
      </c>
      <c r="L19" s="247">
        <f>+VLOOKUP(D19,'Juicio Expertos'!$D$3:$K$61,8,0)</f>
        <v>0.1</v>
      </c>
      <c r="M19" s="247">
        <f t="shared" si="4"/>
        <v>0.10538028170359054</v>
      </c>
      <c r="R19" s="80"/>
      <c r="S19" s="80"/>
    </row>
    <row r="20" spans="2:19" x14ac:dyDescent="0.25">
      <c r="B20" s="196" t="s">
        <v>8</v>
      </c>
      <c r="C20" s="197" t="s">
        <v>380</v>
      </c>
      <c r="D20" s="40" t="s">
        <v>397</v>
      </c>
      <c r="E20" s="34">
        <v>8</v>
      </c>
      <c r="F20" s="34">
        <v>202.5</v>
      </c>
      <c r="G20" s="34">
        <v>702300.28125</v>
      </c>
      <c r="H20" s="247">
        <f t="shared" si="0"/>
        <v>5.3651663961038964E-3</v>
      </c>
      <c r="I20" s="247">
        <f t="shared" si="1"/>
        <v>8.5287846481876331E-3</v>
      </c>
      <c r="J20" s="248">
        <f t="shared" si="5"/>
        <v>10</v>
      </c>
      <c r="K20" s="249">
        <f t="shared" si="3"/>
        <v>5.3651663961038964E-3</v>
      </c>
      <c r="L20" s="247">
        <f>+VLOOKUP(D20,'Juicio Expertos'!$D$3:$K$61,8,0)</f>
        <v>0.18000000000000002</v>
      </c>
      <c r="M20" s="247">
        <f t="shared" si="4"/>
        <v>0.18536516639610393</v>
      </c>
      <c r="R20" s="80"/>
      <c r="S20" s="80"/>
    </row>
    <row r="21" spans="2:19" x14ac:dyDescent="0.25">
      <c r="B21" s="198" t="s">
        <v>20</v>
      </c>
      <c r="C21" s="196" t="s">
        <v>365</v>
      </c>
      <c r="D21" s="40" t="s">
        <v>373</v>
      </c>
      <c r="E21" s="34">
        <v>12</v>
      </c>
      <c r="F21" s="34">
        <v>144.5</v>
      </c>
      <c r="G21" s="34">
        <v>688487.8125</v>
      </c>
      <c r="H21" s="247">
        <f t="shared" si="0"/>
        <v>5.2596471543162717E-3</v>
      </c>
      <c r="I21" s="247">
        <f t="shared" si="1"/>
        <v>1.279317697228145E-2</v>
      </c>
      <c r="J21" s="248">
        <f t="shared" si="5"/>
        <v>11</v>
      </c>
      <c r="K21" s="249">
        <f t="shared" si="3"/>
        <v>5.2596471543162717E-3</v>
      </c>
      <c r="L21" s="247">
        <f>+VLOOKUP(D21,'Juicio Expertos'!$D$3:$K$61,8,0)</f>
        <v>4.0000000000000008E-2</v>
      </c>
      <c r="M21" s="247">
        <f t="shared" si="4"/>
        <v>4.5259647154316282E-2</v>
      </c>
      <c r="N21" s="80"/>
      <c r="O21" s="80"/>
      <c r="P21" s="80"/>
      <c r="R21" s="80"/>
      <c r="S21" s="80"/>
    </row>
    <row r="22" spans="2:19" x14ac:dyDescent="0.25">
      <c r="B22" s="198" t="s">
        <v>8</v>
      </c>
      <c r="C22" s="196" t="s">
        <v>28</v>
      </c>
      <c r="D22" s="40" t="s">
        <v>382</v>
      </c>
      <c r="E22" s="34">
        <v>17</v>
      </c>
      <c r="F22" s="34">
        <v>163.30000000000001</v>
      </c>
      <c r="G22" s="34">
        <v>683726.625</v>
      </c>
      <c r="H22" s="247">
        <f t="shared" si="0"/>
        <v>5.2232744461420929E-3</v>
      </c>
      <c r="I22" s="247">
        <f t="shared" si="1"/>
        <v>1.8123667377398719E-2</v>
      </c>
      <c r="J22" s="248">
        <f t="shared" si="5"/>
        <v>12</v>
      </c>
      <c r="K22" s="249">
        <f t="shared" si="3"/>
        <v>5.2232744461420929E-3</v>
      </c>
      <c r="L22" s="247">
        <f>+VLOOKUP(D22,'Juicio Expertos'!$D$3:$K$61,8,0)</f>
        <v>0.21</v>
      </c>
      <c r="M22" s="247">
        <f t="shared" si="4"/>
        <v>0.21522327444614209</v>
      </c>
      <c r="N22" s="80"/>
      <c r="O22" s="80"/>
      <c r="P22" s="80"/>
      <c r="R22" s="80"/>
      <c r="S22" s="80"/>
    </row>
    <row r="23" spans="2:19" x14ac:dyDescent="0.25">
      <c r="B23" s="4" t="s">
        <v>8</v>
      </c>
      <c r="C23" s="4" t="s">
        <v>42</v>
      </c>
      <c r="D23" s="370" t="s">
        <v>46</v>
      </c>
      <c r="E23" s="34">
        <v>37</v>
      </c>
      <c r="F23" s="34">
        <v>94.949999999999989</v>
      </c>
      <c r="G23" s="34">
        <v>665184.375</v>
      </c>
      <c r="H23" s="247">
        <f t="shared" si="0"/>
        <v>5.0816224216959508E-3</v>
      </c>
      <c r="I23" s="247">
        <f t="shared" si="1"/>
        <v>3.9445628997867806E-2</v>
      </c>
      <c r="J23" s="248">
        <f t="shared" si="5"/>
        <v>13</v>
      </c>
      <c r="K23" s="249">
        <f t="shared" si="3"/>
        <v>5.0816224216959508E-3</v>
      </c>
      <c r="L23" s="247">
        <f>+VLOOKUP(D23,'Juicio Expertos'!$D$3:$K$61,8,0)</f>
        <v>0.05</v>
      </c>
      <c r="M23" s="247">
        <f t="shared" si="4"/>
        <v>5.5081622421695953E-2</v>
      </c>
      <c r="R23" s="80"/>
      <c r="S23" s="80"/>
    </row>
    <row r="24" spans="2:19" x14ac:dyDescent="0.25">
      <c r="B24" s="198" t="s">
        <v>20</v>
      </c>
      <c r="C24" s="196" t="s">
        <v>367</v>
      </c>
      <c r="D24" s="40" t="s">
        <v>374</v>
      </c>
      <c r="E24" s="34">
        <v>7</v>
      </c>
      <c r="F24" s="34">
        <v>186.77</v>
      </c>
      <c r="G24" s="34">
        <v>645750.1875</v>
      </c>
      <c r="H24" s="247">
        <f t="shared" si="0"/>
        <v>4.9331565126050419E-3</v>
      </c>
      <c r="I24" s="247">
        <f t="shared" si="1"/>
        <v>7.462686567164179E-3</v>
      </c>
      <c r="J24" s="248">
        <f t="shared" si="5"/>
        <v>14</v>
      </c>
      <c r="K24" s="249">
        <f t="shared" si="3"/>
        <v>4.9331565126050419E-3</v>
      </c>
      <c r="L24" s="247">
        <f>+VLOOKUP(D24,'Juicio Expertos'!$D$3:$K$61,8,0)</f>
        <v>4.8000000000000001E-2</v>
      </c>
      <c r="M24" s="247">
        <f t="shared" si="4"/>
        <v>5.2933156512605044E-2</v>
      </c>
      <c r="N24" s="80"/>
      <c r="O24" s="80"/>
      <c r="P24" s="80"/>
      <c r="R24" s="80"/>
      <c r="S24" s="80"/>
    </row>
    <row r="25" spans="2:19" x14ac:dyDescent="0.25">
      <c r="B25" s="198" t="s">
        <v>20</v>
      </c>
      <c r="C25" s="196" t="s">
        <v>367</v>
      </c>
      <c r="D25" s="40" t="s">
        <v>376</v>
      </c>
      <c r="E25" s="34">
        <v>9</v>
      </c>
      <c r="F25" s="34">
        <v>171.3</v>
      </c>
      <c r="G25" s="34">
        <v>585721.53750000009</v>
      </c>
      <c r="H25" s="247">
        <f t="shared" si="0"/>
        <v>4.4745724789915977E-3</v>
      </c>
      <c r="I25" s="247">
        <f t="shared" si="1"/>
        <v>9.5948827292110881E-3</v>
      </c>
      <c r="J25" s="248">
        <f t="shared" si="5"/>
        <v>15</v>
      </c>
      <c r="K25" s="249">
        <f t="shared" si="3"/>
        <v>4.4745724789915977E-3</v>
      </c>
      <c r="L25" s="247">
        <f>+VLOOKUP(D25,'Juicio Expertos'!$D$3:$K$61,8,0)</f>
        <v>6.9999999999999993E-2</v>
      </c>
      <c r="M25" s="247">
        <f t="shared" si="4"/>
        <v>7.4474572478991585E-2</v>
      </c>
      <c r="N25" s="80"/>
      <c r="O25" s="80"/>
      <c r="P25" s="80"/>
      <c r="R25" s="80"/>
      <c r="S25" s="80"/>
    </row>
    <row r="26" spans="2:19" x14ac:dyDescent="0.25">
      <c r="B26" s="198" t="s">
        <v>8</v>
      </c>
      <c r="C26" s="196" t="s">
        <v>380</v>
      </c>
      <c r="D26" s="40" t="s">
        <v>578</v>
      </c>
      <c r="E26" s="34">
        <v>28</v>
      </c>
      <c r="F26" s="34">
        <v>142.19999999999999</v>
      </c>
      <c r="G26" s="34">
        <v>547182.02083333337</v>
      </c>
      <c r="H26" s="247">
        <f t="shared" si="0"/>
        <v>4.1801529475426541E-3</v>
      </c>
      <c r="I26" s="247">
        <f t="shared" si="1"/>
        <v>2.9850746268656716E-2</v>
      </c>
      <c r="J26" s="248">
        <f t="shared" si="5"/>
        <v>16</v>
      </c>
      <c r="K26" s="249">
        <f t="shared" si="3"/>
        <v>4.1801529475426541E-3</v>
      </c>
      <c r="L26" s="247">
        <f>+VLOOKUP(D26,'Juicio Expertos'!$D$3:$K$61,8,0)</f>
        <v>4.0000000000000008E-2</v>
      </c>
      <c r="M26" s="247">
        <f t="shared" si="4"/>
        <v>4.4180152947542663E-2</v>
      </c>
      <c r="N26" s="80"/>
      <c r="O26" s="80"/>
      <c r="P26" s="80"/>
      <c r="R26" s="80"/>
      <c r="S26" s="80"/>
    </row>
    <row r="27" spans="2:19" x14ac:dyDescent="0.25">
      <c r="B27" s="4" t="s">
        <v>8</v>
      </c>
      <c r="C27" s="4" t="s">
        <v>47</v>
      </c>
      <c r="D27" s="40" t="s">
        <v>48</v>
      </c>
      <c r="E27" s="34">
        <v>9</v>
      </c>
      <c r="F27" s="34">
        <v>70.38</v>
      </c>
      <c r="G27" s="34">
        <v>527945.34375</v>
      </c>
      <c r="H27" s="247">
        <f t="shared" si="0"/>
        <v>4.0331959033613448E-3</v>
      </c>
      <c r="I27" s="247">
        <f t="shared" si="1"/>
        <v>9.5948827292110881E-3</v>
      </c>
      <c r="J27" s="248">
        <f t="shared" si="5"/>
        <v>17</v>
      </c>
      <c r="K27" s="249">
        <f t="shared" si="3"/>
        <v>4.0331959033613448E-3</v>
      </c>
      <c r="L27" s="247">
        <f>+VLOOKUP(D27,'Juicio Expertos'!$D$3:$K$61,8,0)</f>
        <v>4.0000000000000008E-2</v>
      </c>
      <c r="M27" s="247">
        <f t="shared" si="4"/>
        <v>4.4033195903361355E-2</v>
      </c>
      <c r="R27" s="80"/>
      <c r="S27" s="80"/>
    </row>
    <row r="28" spans="2:19" x14ac:dyDescent="0.25">
      <c r="B28" s="4" t="s">
        <v>8</v>
      </c>
      <c r="C28" s="4" t="s">
        <v>53</v>
      </c>
      <c r="D28" s="40" t="s">
        <v>577</v>
      </c>
      <c r="E28" s="34">
        <v>22</v>
      </c>
      <c r="F28" s="34">
        <v>101.7</v>
      </c>
      <c r="G28" s="34">
        <v>502920.84374999994</v>
      </c>
      <c r="H28" s="247">
        <f t="shared" si="0"/>
        <v>3.8420232524828107E-3</v>
      </c>
      <c r="I28" s="247">
        <f t="shared" si="1"/>
        <v>2.3454157782515993E-2</v>
      </c>
      <c r="J28" s="248">
        <f t="shared" si="5"/>
        <v>18</v>
      </c>
      <c r="K28" s="249">
        <f t="shared" si="3"/>
        <v>3.8420232524828107E-3</v>
      </c>
      <c r="L28" s="247">
        <f>+VLOOKUP(D28,'Juicio Expertos'!$D$3:$K$61,8,0)</f>
        <v>0.1</v>
      </c>
      <c r="M28" s="247">
        <f t="shared" si="4"/>
        <v>0.10384202325248282</v>
      </c>
      <c r="N28" s="80"/>
      <c r="O28" s="80"/>
      <c r="P28" s="80"/>
      <c r="R28" s="80"/>
      <c r="S28" s="80"/>
    </row>
    <row r="29" spans="2:19" x14ac:dyDescent="0.25">
      <c r="B29" s="198" t="s">
        <v>8</v>
      </c>
      <c r="C29" s="196" t="s">
        <v>380</v>
      </c>
      <c r="D29" s="40" t="s">
        <v>379</v>
      </c>
      <c r="E29" s="34">
        <v>6</v>
      </c>
      <c r="F29" s="34">
        <v>141.30000000000001</v>
      </c>
      <c r="G29" s="34">
        <v>495628.3125</v>
      </c>
      <c r="H29" s="247">
        <f t="shared" si="0"/>
        <v>3.7863125477463713E-3</v>
      </c>
      <c r="I29" s="247">
        <f t="shared" si="1"/>
        <v>6.3965884861407248E-3</v>
      </c>
      <c r="J29" s="248">
        <f t="shared" si="5"/>
        <v>19</v>
      </c>
      <c r="K29" s="249">
        <f t="shared" si="3"/>
        <v>3.7863125477463713E-3</v>
      </c>
      <c r="L29" s="247">
        <f>+VLOOKUP(D29,'Juicio Expertos'!$D$3:$K$61,8,0)</f>
        <v>1.0000000000000002E-2</v>
      </c>
      <c r="M29" s="247">
        <f t="shared" si="4"/>
        <v>1.3786312547746373E-2</v>
      </c>
      <c r="R29" s="80"/>
      <c r="S29" s="80"/>
    </row>
    <row r="30" spans="2:19" x14ac:dyDescent="0.25">
      <c r="B30" s="198" t="s">
        <v>11</v>
      </c>
      <c r="C30" s="196" t="s">
        <v>366</v>
      </c>
      <c r="D30" s="40" t="s">
        <v>22</v>
      </c>
      <c r="E30" s="34">
        <v>11</v>
      </c>
      <c r="F30" s="34">
        <v>214.8</v>
      </c>
      <c r="G30" s="34">
        <v>467287.3125</v>
      </c>
      <c r="H30" s="247">
        <f t="shared" si="0"/>
        <v>3.5698037624140567E-3</v>
      </c>
      <c r="I30" s="247">
        <f t="shared" si="1"/>
        <v>1.1727078891257996E-2</v>
      </c>
      <c r="J30" s="248">
        <f t="shared" si="5"/>
        <v>20</v>
      </c>
      <c r="K30" s="249">
        <f t="shared" si="3"/>
        <v>3.5698037624140567E-3</v>
      </c>
      <c r="L30" s="247">
        <f>+VLOOKUP(D30,'Juicio Expertos'!$D$3:$K$61,8,0)</f>
        <v>0.03</v>
      </c>
      <c r="M30" s="247">
        <f t="shared" si="4"/>
        <v>3.3569803762414058E-2</v>
      </c>
      <c r="N30" s="80"/>
      <c r="O30" s="80"/>
      <c r="P30" s="80"/>
      <c r="R30" s="80"/>
      <c r="S30" s="80"/>
    </row>
    <row r="31" spans="2:19" x14ac:dyDescent="0.25">
      <c r="B31" s="198" t="s">
        <v>8</v>
      </c>
      <c r="C31" s="196" t="s">
        <v>28</v>
      </c>
      <c r="D31" s="40" t="s">
        <v>33</v>
      </c>
      <c r="E31" s="34">
        <v>13</v>
      </c>
      <c r="F31" s="34">
        <v>99.36</v>
      </c>
      <c r="G31" s="34">
        <v>466049.90625</v>
      </c>
      <c r="H31" s="247">
        <f t="shared" si="0"/>
        <v>3.5603506970970206E-3</v>
      </c>
      <c r="I31" s="247">
        <f t="shared" si="1"/>
        <v>1.3859275053304905E-2</v>
      </c>
      <c r="J31" s="248">
        <f t="shared" si="5"/>
        <v>21</v>
      </c>
      <c r="K31" s="249">
        <f t="shared" si="3"/>
        <v>3.5603506970970206E-3</v>
      </c>
      <c r="L31" s="247">
        <f>+VLOOKUP(D31,'Juicio Expertos'!$D$3:$K$61,8,0)</f>
        <v>4.0000000000000008E-2</v>
      </c>
      <c r="M31" s="247">
        <f t="shared" si="4"/>
        <v>4.3560350697097031E-2</v>
      </c>
    </row>
    <row r="32" spans="2:19" x14ac:dyDescent="0.25">
      <c r="B32" s="198" t="s">
        <v>20</v>
      </c>
      <c r="C32" s="196" t="s">
        <v>367</v>
      </c>
      <c r="D32" s="40" t="s">
        <v>375</v>
      </c>
      <c r="E32" s="34">
        <v>10</v>
      </c>
      <c r="F32" s="34">
        <v>214</v>
      </c>
      <c r="G32" s="34">
        <v>445114.5</v>
      </c>
      <c r="H32" s="247">
        <f t="shared" si="0"/>
        <v>3.400416348357525E-3</v>
      </c>
      <c r="I32" s="247">
        <f t="shared" si="1"/>
        <v>1.0660980810234541E-2</v>
      </c>
      <c r="J32" s="248">
        <f t="shared" si="5"/>
        <v>22</v>
      </c>
      <c r="K32" s="249">
        <f t="shared" si="3"/>
        <v>3.400416348357525E-3</v>
      </c>
      <c r="L32" s="247">
        <f>+VLOOKUP(D32,'Juicio Expertos'!$D$3:$K$61,8,0)</f>
        <v>0.27</v>
      </c>
      <c r="M32" s="247">
        <f t="shared" si="4"/>
        <v>0.27340041634835754</v>
      </c>
      <c r="N32" s="80"/>
      <c r="O32" s="80"/>
      <c r="P32" s="80"/>
    </row>
    <row r="33" spans="2:16" x14ac:dyDescent="0.25">
      <c r="B33" s="4" t="s">
        <v>8</v>
      </c>
      <c r="C33" s="4" t="s">
        <v>53</v>
      </c>
      <c r="D33" s="40" t="s">
        <v>384</v>
      </c>
      <c r="E33" s="34">
        <v>14</v>
      </c>
      <c r="F33" s="34">
        <v>122.4</v>
      </c>
      <c r="G33" s="34">
        <v>444903.45</v>
      </c>
      <c r="H33" s="247">
        <f t="shared" si="0"/>
        <v>3.3988040488922844E-3</v>
      </c>
      <c r="I33" s="247">
        <f t="shared" si="1"/>
        <v>1.4925373134328358E-2</v>
      </c>
      <c r="J33" s="248">
        <f t="shared" si="5"/>
        <v>23</v>
      </c>
      <c r="K33" s="249">
        <f t="shared" si="3"/>
        <v>3.3988040488922844E-3</v>
      </c>
      <c r="L33" s="247">
        <f>+VLOOKUP(D33,'Juicio Expertos'!$D$3:$K$61,8,0)</f>
        <v>4.0000000000000008E-2</v>
      </c>
      <c r="M33" s="247">
        <f t="shared" si="4"/>
        <v>4.3398804048892292E-2</v>
      </c>
      <c r="N33" s="80"/>
      <c r="O33" s="80"/>
      <c r="P33" s="80"/>
    </row>
    <row r="34" spans="2:16" x14ac:dyDescent="0.25">
      <c r="B34" s="198" t="s">
        <v>8</v>
      </c>
      <c r="C34" s="196" t="s">
        <v>42</v>
      </c>
      <c r="D34" s="40" t="s">
        <v>43</v>
      </c>
      <c r="E34" s="34">
        <v>36</v>
      </c>
      <c r="F34" s="34">
        <v>136.79999999999998</v>
      </c>
      <c r="G34" s="34">
        <v>437327.00624999998</v>
      </c>
      <c r="H34" s="247">
        <f t="shared" ref="H34:H59" si="6">+G34/$F$61</f>
        <v>3.3409244174942704E-3</v>
      </c>
      <c r="I34" s="247">
        <f t="shared" ref="I34:I59" si="7">+E34/SUM($E$2:$E$59)</f>
        <v>3.8379530916844352E-2</v>
      </c>
      <c r="J34" s="248">
        <f t="shared" si="5"/>
        <v>24</v>
      </c>
      <c r="K34" s="249">
        <f t="shared" ref="K34:K59" si="8">+H34</f>
        <v>3.3409244174942704E-3</v>
      </c>
      <c r="L34" s="247">
        <f>+VLOOKUP(D34,'Juicio Expertos'!$D$3:$K$61,8,0)</f>
        <v>8.0000000000000016E-2</v>
      </c>
      <c r="M34" s="247">
        <f t="shared" ref="M34:M59" si="9">+K34+L34</f>
        <v>8.3340924417494286E-2</v>
      </c>
    </row>
    <row r="35" spans="2:16" x14ac:dyDescent="0.25">
      <c r="B35" s="198" t="s">
        <v>8</v>
      </c>
      <c r="C35" s="196" t="s">
        <v>380</v>
      </c>
      <c r="D35" s="40" t="s">
        <v>579</v>
      </c>
      <c r="E35" s="34">
        <v>9</v>
      </c>
      <c r="F35" s="34">
        <v>73.800000000000011</v>
      </c>
      <c r="G35" s="34">
        <v>422709.28125</v>
      </c>
      <c r="H35" s="247">
        <f t="shared" si="6"/>
        <v>3.2292534854851031E-3</v>
      </c>
      <c r="I35" s="247">
        <f t="shared" si="7"/>
        <v>9.5948827292110881E-3</v>
      </c>
      <c r="J35" s="248">
        <f t="shared" si="5"/>
        <v>25</v>
      </c>
      <c r="K35" s="249">
        <f t="shared" si="8"/>
        <v>3.2292534854851031E-3</v>
      </c>
      <c r="L35" s="247">
        <f>+VLOOKUP(D35,'Juicio Expertos'!$D$3:$K$61,8,0)</f>
        <v>5.000000000000001E-3</v>
      </c>
      <c r="M35" s="247">
        <f t="shared" si="9"/>
        <v>8.2292534854851041E-3</v>
      </c>
      <c r="N35" s="80"/>
      <c r="O35" s="80"/>
      <c r="P35" s="80"/>
    </row>
    <row r="36" spans="2:16" x14ac:dyDescent="0.25">
      <c r="B36" s="198" t="s">
        <v>8</v>
      </c>
      <c r="C36" s="196" t="s">
        <v>28</v>
      </c>
      <c r="D36" s="40" t="s">
        <v>568</v>
      </c>
      <c r="E36" s="34">
        <v>17</v>
      </c>
      <c r="F36" s="34">
        <v>84.6</v>
      </c>
      <c r="G36" s="34">
        <v>411762.31874999998</v>
      </c>
      <c r="H36" s="247">
        <f t="shared" si="6"/>
        <v>3.1456250477463711E-3</v>
      </c>
      <c r="I36" s="247">
        <f t="shared" si="7"/>
        <v>1.8123667377398719E-2</v>
      </c>
      <c r="J36" s="248">
        <f t="shared" si="5"/>
        <v>26</v>
      </c>
      <c r="K36" s="249">
        <f t="shared" si="8"/>
        <v>3.1456250477463711E-3</v>
      </c>
      <c r="L36" s="247">
        <f>+VLOOKUP(D36,'Juicio Expertos'!$D$3:$K$61,8,0)</f>
        <v>0.16000000000000003</v>
      </c>
      <c r="M36" s="247">
        <f t="shared" si="9"/>
        <v>0.16314562504774641</v>
      </c>
    </row>
    <row r="37" spans="2:16" x14ac:dyDescent="0.25">
      <c r="B37" s="196" t="s">
        <v>8</v>
      </c>
      <c r="C37" s="199" t="s">
        <v>28</v>
      </c>
      <c r="D37" s="40" t="s">
        <v>39</v>
      </c>
      <c r="E37" s="34">
        <v>14</v>
      </c>
      <c r="F37" s="34">
        <v>100.6</v>
      </c>
      <c r="G37" s="34">
        <v>406842.84375</v>
      </c>
      <c r="H37" s="247">
        <f t="shared" si="6"/>
        <v>3.1080431149732618E-3</v>
      </c>
      <c r="I37" s="247">
        <f t="shared" si="7"/>
        <v>1.4925373134328358E-2</v>
      </c>
      <c r="J37" s="248">
        <f t="shared" si="5"/>
        <v>27</v>
      </c>
      <c r="K37" s="249">
        <f t="shared" si="8"/>
        <v>3.1080431149732618E-3</v>
      </c>
      <c r="L37" s="247">
        <f>+VLOOKUP(D37,'Juicio Expertos'!$D$3:$K$61,8,0)</f>
        <v>0.12</v>
      </c>
      <c r="M37" s="247">
        <f t="shared" si="9"/>
        <v>0.12310804311497325</v>
      </c>
    </row>
    <row r="38" spans="2:16" x14ac:dyDescent="0.25">
      <c r="B38" s="198" t="s">
        <v>8</v>
      </c>
      <c r="C38" s="196" t="s">
        <v>28</v>
      </c>
      <c r="D38" s="40" t="s">
        <v>36</v>
      </c>
      <c r="E38" s="34">
        <v>31</v>
      </c>
      <c r="F38" s="34">
        <v>155.69999999999999</v>
      </c>
      <c r="G38" s="34">
        <v>394738.875</v>
      </c>
      <c r="H38" s="247">
        <f t="shared" si="6"/>
        <v>3.0155758212375861E-3</v>
      </c>
      <c r="I38" s="247">
        <f t="shared" si="7"/>
        <v>3.3049040511727079E-2</v>
      </c>
      <c r="J38" s="248">
        <f t="shared" si="5"/>
        <v>28</v>
      </c>
      <c r="K38" s="249">
        <f t="shared" si="8"/>
        <v>3.0155758212375861E-3</v>
      </c>
      <c r="L38" s="247">
        <f>+VLOOKUP(D38,'Juicio Expertos'!$D$3:$K$61,8,0)</f>
        <v>0.27</v>
      </c>
      <c r="M38" s="247">
        <f t="shared" si="9"/>
        <v>0.27301557582123759</v>
      </c>
    </row>
    <row r="39" spans="2:16" x14ac:dyDescent="0.25">
      <c r="B39" s="198" t="s">
        <v>8</v>
      </c>
      <c r="C39" s="196" t="s">
        <v>380</v>
      </c>
      <c r="D39" s="40" t="s">
        <v>29</v>
      </c>
      <c r="E39" s="34">
        <v>23</v>
      </c>
      <c r="F39" s="34">
        <v>175.05</v>
      </c>
      <c r="G39" s="34">
        <v>350261.34375</v>
      </c>
      <c r="H39" s="247">
        <f t="shared" si="6"/>
        <v>2.6757933059587471E-3</v>
      </c>
      <c r="I39" s="247">
        <f t="shared" si="7"/>
        <v>2.4520255863539446E-2</v>
      </c>
      <c r="J39" s="248">
        <f t="shared" si="5"/>
        <v>29</v>
      </c>
      <c r="K39" s="249">
        <f t="shared" si="8"/>
        <v>2.6757933059587471E-3</v>
      </c>
      <c r="L39" s="247">
        <f>+VLOOKUP(D39,'Juicio Expertos'!$D$3:$K$61,8,0)</f>
        <v>0.03</v>
      </c>
      <c r="M39" s="247">
        <f t="shared" si="9"/>
        <v>3.2675793305958746E-2</v>
      </c>
      <c r="N39" s="80"/>
      <c r="O39" s="80"/>
      <c r="P39" s="80"/>
    </row>
    <row r="40" spans="2:16" x14ac:dyDescent="0.25">
      <c r="B40" s="4" t="s">
        <v>8</v>
      </c>
      <c r="C40" s="4" t="s">
        <v>53</v>
      </c>
      <c r="D40" s="40" t="s">
        <v>383</v>
      </c>
      <c r="E40" s="34">
        <v>10</v>
      </c>
      <c r="F40" s="34">
        <v>94.5</v>
      </c>
      <c r="G40" s="34">
        <v>294163.5</v>
      </c>
      <c r="H40" s="247">
        <f t="shared" si="6"/>
        <v>2.2472383498854088E-3</v>
      </c>
      <c r="I40" s="247">
        <f t="shared" si="7"/>
        <v>1.0660980810234541E-2</v>
      </c>
      <c r="J40" s="248">
        <f t="shared" si="5"/>
        <v>30</v>
      </c>
      <c r="K40" s="249">
        <f t="shared" si="8"/>
        <v>2.2472383498854088E-3</v>
      </c>
      <c r="L40" s="247">
        <f>+VLOOKUP(D40,'Juicio Expertos'!$D$3:$K$61,8,0)</f>
        <v>5.000000000000001E-3</v>
      </c>
      <c r="M40" s="247">
        <f t="shared" si="9"/>
        <v>7.2472383498854102E-3</v>
      </c>
    </row>
    <row r="41" spans="2:16" x14ac:dyDescent="0.25">
      <c r="B41" s="198" t="s">
        <v>8</v>
      </c>
      <c r="C41" s="196" t="s">
        <v>28</v>
      </c>
      <c r="D41" s="40" t="s">
        <v>37</v>
      </c>
      <c r="E41" s="34">
        <v>16</v>
      </c>
      <c r="F41" s="34">
        <v>115.2</v>
      </c>
      <c r="G41" s="34">
        <v>281280.65625</v>
      </c>
      <c r="H41" s="247">
        <f t="shared" si="6"/>
        <v>2.1488209033613446E-3</v>
      </c>
      <c r="I41" s="247">
        <f t="shared" si="7"/>
        <v>1.7057569296375266E-2</v>
      </c>
      <c r="J41" s="248">
        <f t="shared" si="5"/>
        <v>31</v>
      </c>
      <c r="K41" s="249">
        <f t="shared" si="8"/>
        <v>2.1488209033613446E-3</v>
      </c>
      <c r="L41" s="247">
        <f>+VLOOKUP(D41,'Juicio Expertos'!$D$3:$K$61,8,0)</f>
        <v>0.06</v>
      </c>
      <c r="M41" s="247">
        <f t="shared" si="9"/>
        <v>6.2148820903361345E-2</v>
      </c>
      <c r="N41" s="80"/>
      <c r="O41" s="80"/>
      <c r="P41" s="80"/>
    </row>
    <row r="42" spans="2:16" x14ac:dyDescent="0.25">
      <c r="B42" s="4" t="s">
        <v>8</v>
      </c>
      <c r="C42" s="4" t="s">
        <v>47</v>
      </c>
      <c r="D42" s="40" t="s">
        <v>392</v>
      </c>
      <c r="E42" s="34">
        <v>11</v>
      </c>
      <c r="F42" s="34">
        <v>76.5</v>
      </c>
      <c r="G42" s="34">
        <v>252267.5625</v>
      </c>
      <c r="H42" s="247">
        <f t="shared" si="6"/>
        <v>1.9271777119938885E-3</v>
      </c>
      <c r="I42" s="247">
        <f t="shared" si="7"/>
        <v>1.1727078891257996E-2</v>
      </c>
      <c r="J42" s="248">
        <f t="shared" si="5"/>
        <v>32</v>
      </c>
      <c r="K42" s="249">
        <f t="shared" si="8"/>
        <v>1.9271777119938885E-3</v>
      </c>
      <c r="L42" s="247">
        <f>+VLOOKUP(D42,'Juicio Expertos'!$D$3:$K$61,8,0)</f>
        <v>1.7999999999999999E-2</v>
      </c>
      <c r="M42" s="247">
        <f t="shared" si="9"/>
        <v>1.9927177711993888E-2</v>
      </c>
    </row>
    <row r="43" spans="2:16" x14ac:dyDescent="0.25">
      <c r="B43" s="198" t="s">
        <v>8</v>
      </c>
      <c r="C43" s="196" t="s">
        <v>380</v>
      </c>
      <c r="D43" s="40" t="s">
        <v>31</v>
      </c>
      <c r="E43" s="34">
        <v>9</v>
      </c>
      <c r="F43" s="34">
        <v>75.599999999999994</v>
      </c>
      <c r="G43" s="34">
        <v>246052.84375</v>
      </c>
      <c r="H43" s="247">
        <f t="shared" si="6"/>
        <v>1.8797008689839573E-3</v>
      </c>
      <c r="I43" s="247">
        <f t="shared" si="7"/>
        <v>9.5948827292110881E-3</v>
      </c>
      <c r="J43" s="248">
        <f t="shared" si="5"/>
        <v>33</v>
      </c>
      <c r="K43" s="249">
        <f t="shared" si="8"/>
        <v>1.8797008689839573E-3</v>
      </c>
      <c r="L43" s="247">
        <f>+VLOOKUP(D43,'Juicio Expertos'!$D$3:$K$61,8,0)</f>
        <v>4.0000000000000008E-2</v>
      </c>
      <c r="M43" s="247">
        <f t="shared" si="9"/>
        <v>4.1879700868983967E-2</v>
      </c>
    </row>
    <row r="44" spans="2:16" x14ac:dyDescent="0.25">
      <c r="B44" s="196" t="s">
        <v>8</v>
      </c>
      <c r="C44" s="197" t="s">
        <v>380</v>
      </c>
      <c r="D44" s="40" t="s">
        <v>30</v>
      </c>
      <c r="E44" s="34">
        <v>17</v>
      </c>
      <c r="F44" s="34">
        <v>95.4</v>
      </c>
      <c r="G44" s="34">
        <v>240829.40625</v>
      </c>
      <c r="H44" s="247">
        <f t="shared" si="6"/>
        <v>1.8397968391902215E-3</v>
      </c>
      <c r="I44" s="247">
        <f t="shared" si="7"/>
        <v>1.8123667377398719E-2</v>
      </c>
      <c r="J44" s="248">
        <f t="shared" si="5"/>
        <v>34</v>
      </c>
      <c r="K44" s="249">
        <f t="shared" si="8"/>
        <v>1.8397968391902215E-3</v>
      </c>
      <c r="L44" s="247">
        <f>+VLOOKUP(D44,'Juicio Expertos'!$D$3:$K$61,8,0)</f>
        <v>0.06</v>
      </c>
      <c r="M44" s="247">
        <f t="shared" si="9"/>
        <v>6.183979683919022E-2</v>
      </c>
    </row>
    <row r="45" spans="2:16" x14ac:dyDescent="0.25">
      <c r="B45" s="198" t="s">
        <v>8</v>
      </c>
      <c r="C45" s="196" t="s">
        <v>28</v>
      </c>
      <c r="D45" s="40" t="s">
        <v>41</v>
      </c>
      <c r="E45" s="34">
        <v>18</v>
      </c>
      <c r="F45" s="34">
        <v>59.040000000000006</v>
      </c>
      <c r="G45" s="34">
        <v>240502.78125</v>
      </c>
      <c r="H45" s="247">
        <f t="shared" si="6"/>
        <v>1.8373016138273491E-3</v>
      </c>
      <c r="I45" s="247">
        <f t="shared" si="7"/>
        <v>1.9189765458422176E-2</v>
      </c>
      <c r="J45" s="248">
        <f t="shared" si="5"/>
        <v>35</v>
      </c>
      <c r="K45" s="249">
        <f t="shared" si="8"/>
        <v>1.8373016138273491E-3</v>
      </c>
      <c r="L45" s="247">
        <f>+VLOOKUP(D45,'Juicio Expertos'!$D$3:$K$61,8,0)</f>
        <v>1.0000000000000002E-2</v>
      </c>
      <c r="M45" s="247">
        <f t="shared" si="9"/>
        <v>1.1837301613827352E-2</v>
      </c>
    </row>
    <row r="46" spans="2:16" x14ac:dyDescent="0.25">
      <c r="B46" s="4" t="s">
        <v>8</v>
      </c>
      <c r="C46" s="4" t="s">
        <v>49</v>
      </c>
      <c r="D46" s="40" t="s">
        <v>50</v>
      </c>
      <c r="E46" s="34">
        <v>11</v>
      </c>
      <c r="F46" s="34">
        <v>93.6</v>
      </c>
      <c r="G46" s="34">
        <v>208825.18124999999</v>
      </c>
      <c r="H46" s="247">
        <f t="shared" si="6"/>
        <v>1.5953031417112299E-3</v>
      </c>
      <c r="I46" s="247">
        <f t="shared" si="7"/>
        <v>1.1727078891257996E-2</v>
      </c>
      <c r="J46" s="248">
        <f t="shared" si="5"/>
        <v>36</v>
      </c>
      <c r="K46" s="249">
        <f t="shared" si="8"/>
        <v>1.5953031417112299E-3</v>
      </c>
      <c r="L46" s="247">
        <f>+VLOOKUP(D46,'Juicio Expertos'!$D$3:$K$61,8,0)</f>
        <v>0.12</v>
      </c>
      <c r="M46" s="247">
        <f t="shared" si="9"/>
        <v>0.12159530314171123</v>
      </c>
    </row>
    <row r="47" spans="2:16" x14ac:dyDescent="0.25">
      <c r="B47" s="198" t="s">
        <v>8</v>
      </c>
      <c r="C47" s="196" t="s">
        <v>28</v>
      </c>
      <c r="D47" s="40" t="s">
        <v>599</v>
      </c>
      <c r="E47" s="34">
        <v>30</v>
      </c>
      <c r="F47" s="34">
        <v>84.6</v>
      </c>
      <c r="G47" s="34">
        <v>205422</v>
      </c>
      <c r="H47" s="247">
        <f t="shared" si="6"/>
        <v>1.5693048128342245E-3</v>
      </c>
      <c r="I47" s="247">
        <f t="shared" si="7"/>
        <v>3.1982942430703626E-2</v>
      </c>
      <c r="J47" s="248">
        <f t="shared" si="5"/>
        <v>37</v>
      </c>
      <c r="K47" s="249">
        <f t="shared" si="8"/>
        <v>1.5693048128342245E-3</v>
      </c>
      <c r="L47" s="247">
        <f>+VLOOKUP(D47,'Juicio Expertos'!$D$3:$K$61,8,0)</f>
        <v>0.06</v>
      </c>
      <c r="M47" s="247">
        <f t="shared" si="9"/>
        <v>6.1569304812834222E-2</v>
      </c>
    </row>
    <row r="48" spans="2:16" x14ac:dyDescent="0.25">
      <c r="B48" s="198" t="s">
        <v>8</v>
      </c>
      <c r="C48" s="196" t="s">
        <v>380</v>
      </c>
      <c r="D48" s="40" t="s">
        <v>393</v>
      </c>
      <c r="E48" s="34">
        <v>5</v>
      </c>
      <c r="F48" s="34">
        <v>58.5</v>
      </c>
      <c r="G48" s="34">
        <v>203374.3125</v>
      </c>
      <c r="H48" s="247">
        <f t="shared" si="6"/>
        <v>1.5536616692131398E-3</v>
      </c>
      <c r="I48" s="247">
        <f t="shared" si="7"/>
        <v>5.3304904051172707E-3</v>
      </c>
      <c r="J48" s="248">
        <f t="shared" si="5"/>
        <v>38</v>
      </c>
      <c r="K48" s="249">
        <f t="shared" si="8"/>
        <v>1.5536616692131398E-3</v>
      </c>
      <c r="L48" s="247">
        <f>+VLOOKUP(D48,'Juicio Expertos'!$D$3:$K$61,8,0)</f>
        <v>2.0000000000000004E-2</v>
      </c>
      <c r="M48" s="247">
        <f t="shared" si="9"/>
        <v>2.1553661669213145E-2</v>
      </c>
    </row>
    <row r="49" spans="2:13" x14ac:dyDescent="0.25">
      <c r="B49" s="198" t="s">
        <v>8</v>
      </c>
      <c r="C49" s="196" t="s">
        <v>28</v>
      </c>
      <c r="D49" s="40" t="s">
        <v>386</v>
      </c>
      <c r="E49" s="34">
        <v>6</v>
      </c>
      <c r="F49" s="34">
        <v>39.15</v>
      </c>
      <c r="G49" s="34">
        <v>203296.42499999999</v>
      </c>
      <c r="H49" s="247">
        <f t="shared" si="6"/>
        <v>1.5530666539343009E-3</v>
      </c>
      <c r="I49" s="247">
        <f t="shared" si="7"/>
        <v>6.3965884861407248E-3</v>
      </c>
      <c r="J49" s="248">
        <f t="shared" si="5"/>
        <v>39</v>
      </c>
      <c r="K49" s="249">
        <f t="shared" si="8"/>
        <v>1.5530666539343009E-3</v>
      </c>
      <c r="L49" s="247">
        <f>+VLOOKUP(D49,'Juicio Expertos'!$D$3:$K$61,8,0)</f>
        <v>2.0000000000000004E-2</v>
      </c>
      <c r="M49" s="247">
        <f t="shared" si="9"/>
        <v>2.1553066653934305E-2</v>
      </c>
    </row>
    <row r="50" spans="2:13" x14ac:dyDescent="0.25">
      <c r="B50" s="198" t="s">
        <v>19</v>
      </c>
      <c r="C50" s="196" t="s">
        <v>11</v>
      </c>
      <c r="D50" s="40" t="s">
        <v>27</v>
      </c>
      <c r="E50" s="34">
        <v>8</v>
      </c>
      <c r="F50" s="34">
        <v>104.6</v>
      </c>
      <c r="G50" s="34">
        <v>143137.125</v>
      </c>
      <c r="H50" s="247">
        <f t="shared" si="6"/>
        <v>1.0934845301757065E-3</v>
      </c>
      <c r="I50" s="247">
        <f t="shared" si="7"/>
        <v>8.5287846481876331E-3</v>
      </c>
      <c r="J50" s="248">
        <f t="shared" si="5"/>
        <v>40</v>
      </c>
      <c r="K50" s="249">
        <f t="shared" si="8"/>
        <v>1.0934845301757065E-3</v>
      </c>
      <c r="L50" s="247">
        <f>+VLOOKUP(D50,'Juicio Expertos'!$D$3:$K$61,8,0)</f>
        <v>0.06</v>
      </c>
      <c r="M50" s="247">
        <f t="shared" si="9"/>
        <v>6.1093484530175705E-2</v>
      </c>
    </row>
    <row r="51" spans="2:13" x14ac:dyDescent="0.25">
      <c r="B51" s="198" t="s">
        <v>19</v>
      </c>
      <c r="C51" s="196" t="s">
        <v>364</v>
      </c>
      <c r="D51" s="40" t="s">
        <v>25</v>
      </c>
      <c r="E51" s="34">
        <v>3</v>
      </c>
      <c r="F51" s="34">
        <v>39.6</v>
      </c>
      <c r="G51" s="34">
        <v>120411.5625</v>
      </c>
      <c r="H51" s="247">
        <f t="shared" si="6"/>
        <v>9.1987442704354473E-4</v>
      </c>
      <c r="I51" s="247">
        <f t="shared" si="7"/>
        <v>3.1982942430703624E-3</v>
      </c>
      <c r="J51" s="248">
        <f t="shared" si="5"/>
        <v>41</v>
      </c>
      <c r="K51" s="249">
        <f t="shared" si="8"/>
        <v>9.1987442704354473E-4</v>
      </c>
      <c r="L51" s="247">
        <f>+VLOOKUP(D51,'Juicio Expertos'!$D$3:$K$61,8,0)</f>
        <v>0.05</v>
      </c>
      <c r="M51" s="247">
        <f t="shared" si="9"/>
        <v>5.091987442704355E-2</v>
      </c>
    </row>
    <row r="52" spans="2:13" x14ac:dyDescent="0.25">
      <c r="B52" s="198" t="s">
        <v>19</v>
      </c>
      <c r="C52" s="196" t="s">
        <v>364</v>
      </c>
      <c r="D52" s="40" t="s">
        <v>368</v>
      </c>
      <c r="E52" s="34">
        <v>11</v>
      </c>
      <c r="F52" s="34">
        <v>127.8</v>
      </c>
      <c r="G52" s="34">
        <v>98364.375</v>
      </c>
      <c r="H52" s="247">
        <f t="shared" si="6"/>
        <v>7.5144671504965622E-4</v>
      </c>
      <c r="I52" s="247">
        <f t="shared" si="7"/>
        <v>1.1727078891257996E-2</v>
      </c>
      <c r="J52" s="248">
        <f t="shared" si="5"/>
        <v>42</v>
      </c>
      <c r="K52" s="249">
        <f t="shared" si="8"/>
        <v>7.5144671504965622E-4</v>
      </c>
      <c r="L52" s="247">
        <f>+VLOOKUP(D52,'Juicio Expertos'!$D$3:$K$61,8,0)</f>
        <v>0.18</v>
      </c>
      <c r="M52" s="247">
        <f t="shared" si="9"/>
        <v>0.18075144671504964</v>
      </c>
    </row>
    <row r="53" spans="2:13" x14ac:dyDescent="0.25">
      <c r="B53" s="198" t="s">
        <v>19</v>
      </c>
      <c r="C53" s="196" t="s">
        <v>11</v>
      </c>
      <c r="D53" s="40" t="s">
        <v>26</v>
      </c>
      <c r="E53" s="34">
        <v>6</v>
      </c>
      <c r="F53" s="34">
        <v>82.1</v>
      </c>
      <c r="G53" s="34">
        <v>95562.9375</v>
      </c>
      <c r="H53" s="247">
        <f t="shared" si="6"/>
        <v>7.3004535905271195E-4</v>
      </c>
      <c r="I53" s="247">
        <f t="shared" si="7"/>
        <v>6.3965884861407248E-3</v>
      </c>
      <c r="J53" s="248">
        <f t="shared" si="5"/>
        <v>43</v>
      </c>
      <c r="K53" s="249">
        <f t="shared" si="8"/>
        <v>7.3004535905271195E-4</v>
      </c>
      <c r="L53" s="247">
        <f>+VLOOKUP(D53,'Juicio Expertos'!$D$3:$K$61,8,0)</f>
        <v>4.4999999999999998E-2</v>
      </c>
      <c r="M53" s="247">
        <f t="shared" si="9"/>
        <v>4.5730045359052708E-2</v>
      </c>
    </row>
    <row r="54" spans="2:13" x14ac:dyDescent="0.25">
      <c r="B54" s="4" t="s">
        <v>8</v>
      </c>
      <c r="C54" s="4" t="s">
        <v>49</v>
      </c>
      <c r="D54" s="40" t="s">
        <v>51</v>
      </c>
      <c r="E54" s="34">
        <v>1</v>
      </c>
      <c r="F54" s="34">
        <v>16.2</v>
      </c>
      <c r="G54" s="34">
        <v>93276.5625</v>
      </c>
      <c r="H54" s="247">
        <f t="shared" si="6"/>
        <v>7.1257878151260502E-4</v>
      </c>
      <c r="I54" s="247">
        <f t="shared" si="7"/>
        <v>1.0660980810234541E-3</v>
      </c>
      <c r="J54" s="248">
        <f t="shared" si="5"/>
        <v>44</v>
      </c>
      <c r="K54" s="249">
        <f t="shared" si="8"/>
        <v>7.1257878151260502E-4</v>
      </c>
      <c r="L54" s="247">
        <f>+VLOOKUP(D54,'Juicio Expertos'!$D$3:$K$61,8,0)</f>
        <v>1.0000000000000002E-2</v>
      </c>
      <c r="M54" s="247">
        <f t="shared" si="9"/>
        <v>1.0712578781512607E-2</v>
      </c>
    </row>
    <row r="55" spans="2:13" x14ac:dyDescent="0.25">
      <c r="B55" s="4" t="s">
        <v>8</v>
      </c>
      <c r="C55" s="4" t="s">
        <v>49</v>
      </c>
      <c r="D55" s="40" t="s">
        <v>52</v>
      </c>
      <c r="E55" s="34">
        <v>1</v>
      </c>
      <c r="F55" s="34">
        <v>16</v>
      </c>
      <c r="G55" s="34">
        <v>82912.5</v>
      </c>
      <c r="H55" s="247">
        <f t="shared" si="6"/>
        <v>6.3340336134453778E-4</v>
      </c>
      <c r="I55" s="247">
        <f t="shared" si="7"/>
        <v>1.0660980810234541E-3</v>
      </c>
      <c r="J55" s="248">
        <f t="shared" si="5"/>
        <v>45</v>
      </c>
      <c r="K55" s="249">
        <f t="shared" si="8"/>
        <v>6.3340336134453778E-4</v>
      </c>
      <c r="L55" s="247">
        <f>+VLOOKUP(D55,'Juicio Expertos'!$D$3:$K$61,8,0)</f>
        <v>1.0000000000000002E-2</v>
      </c>
      <c r="M55" s="247">
        <f t="shared" si="9"/>
        <v>1.0633403361344539E-2</v>
      </c>
    </row>
    <row r="56" spans="2:13" x14ac:dyDescent="0.25">
      <c r="B56" s="198" t="s">
        <v>19</v>
      </c>
      <c r="C56" s="196" t="s">
        <v>11</v>
      </c>
      <c r="D56" s="40" t="s">
        <v>24</v>
      </c>
      <c r="E56" s="34">
        <v>10</v>
      </c>
      <c r="F56" s="34">
        <v>95.35</v>
      </c>
      <c r="G56" s="34">
        <v>79520.625</v>
      </c>
      <c r="H56" s="247">
        <f t="shared" si="6"/>
        <v>6.0749140565317038E-4</v>
      </c>
      <c r="I56" s="247">
        <f t="shared" si="7"/>
        <v>1.0660980810234541E-2</v>
      </c>
      <c r="J56" s="248">
        <f t="shared" si="5"/>
        <v>46</v>
      </c>
      <c r="K56" s="249">
        <f t="shared" si="8"/>
        <v>6.0749140565317038E-4</v>
      </c>
      <c r="L56" s="247">
        <f>+VLOOKUP(D56,'Juicio Expertos'!$D$3:$K$61,8,0)</f>
        <v>0.27999999999999997</v>
      </c>
      <c r="M56" s="247">
        <f t="shared" si="9"/>
        <v>0.28060749140565316</v>
      </c>
    </row>
    <row r="57" spans="2:13" x14ac:dyDescent="0.25">
      <c r="B57" s="198" t="s">
        <v>11</v>
      </c>
      <c r="C57" s="196" t="s">
        <v>365</v>
      </c>
      <c r="D57" s="40" t="s">
        <v>391</v>
      </c>
      <c r="E57" s="34">
        <v>5</v>
      </c>
      <c r="F57" s="34">
        <v>41.650000000000006</v>
      </c>
      <c r="G57" s="34">
        <v>76939.03125</v>
      </c>
      <c r="H57" s="247">
        <f t="shared" si="6"/>
        <v>5.8776952826585177E-4</v>
      </c>
      <c r="I57" s="247">
        <f t="shared" si="7"/>
        <v>5.3304904051172707E-3</v>
      </c>
      <c r="J57" s="248">
        <f t="shared" si="5"/>
        <v>47</v>
      </c>
      <c r="K57" s="249">
        <f t="shared" si="8"/>
        <v>5.8776952826585177E-4</v>
      </c>
      <c r="L57" s="247">
        <f>+VLOOKUP(D57,'Juicio Expertos'!$D$3:$K$61,8,0)</f>
        <v>0.11000000000000001</v>
      </c>
      <c r="M57" s="247">
        <f t="shared" si="9"/>
        <v>0.11058776952826586</v>
      </c>
    </row>
    <row r="58" spans="2:13" x14ac:dyDescent="0.25">
      <c r="B58" s="198" t="s">
        <v>19</v>
      </c>
      <c r="C58" s="196" t="s">
        <v>11</v>
      </c>
      <c r="D58" s="40" t="s">
        <v>395</v>
      </c>
      <c r="E58" s="34">
        <v>6</v>
      </c>
      <c r="F58" s="34">
        <v>110.69999999999999</v>
      </c>
      <c r="G58" s="34">
        <v>69772.125</v>
      </c>
      <c r="H58" s="247">
        <f t="shared" si="6"/>
        <v>5.3301852559205502E-4</v>
      </c>
      <c r="I58" s="247">
        <f t="shared" si="7"/>
        <v>6.3965884861407248E-3</v>
      </c>
      <c r="J58" s="248">
        <f t="shared" si="5"/>
        <v>48</v>
      </c>
      <c r="K58" s="249">
        <f t="shared" si="8"/>
        <v>5.3301852559205502E-4</v>
      </c>
      <c r="L58" s="247">
        <f>+VLOOKUP(D58,'Juicio Expertos'!$D$3:$K$61,8,0)</f>
        <v>0.16250000000000001</v>
      </c>
      <c r="M58" s="247">
        <f t="shared" si="9"/>
        <v>0.16303301852559207</v>
      </c>
    </row>
    <row r="59" spans="2:13" x14ac:dyDescent="0.25">
      <c r="B59" s="198" t="s">
        <v>11</v>
      </c>
      <c r="C59" s="196" t="s">
        <v>365</v>
      </c>
      <c r="D59" s="40" t="s">
        <v>390</v>
      </c>
      <c r="E59" s="34">
        <v>6</v>
      </c>
      <c r="F59" s="34">
        <v>115.47</v>
      </c>
      <c r="G59" s="34">
        <v>14472</v>
      </c>
      <c r="H59" s="247">
        <f t="shared" si="6"/>
        <v>1.1055767761650115E-4</v>
      </c>
      <c r="I59" s="247">
        <f t="shared" si="7"/>
        <v>6.3965884861407248E-3</v>
      </c>
      <c r="J59" s="248">
        <f t="shared" si="5"/>
        <v>49</v>
      </c>
      <c r="K59" s="249">
        <f t="shared" si="8"/>
        <v>1.1055767761650115E-4</v>
      </c>
      <c r="L59" s="247">
        <f>+VLOOKUP(D59,'Juicio Expertos'!$D$3:$K$61,8,0)</f>
        <v>0.248</v>
      </c>
      <c r="M59" s="247">
        <f t="shared" si="9"/>
        <v>0.2481105576776165</v>
      </c>
    </row>
    <row r="61" spans="2:13" x14ac:dyDescent="0.25">
      <c r="E61" t="s">
        <v>687</v>
      </c>
      <c r="F61">
        <f>+'Data Proyectos'!E94</f>
        <v>130900000</v>
      </c>
      <c r="G61" s="244"/>
      <c r="H61" s="244">
        <f>+SUM(H2:H59)</f>
        <v>0.23740643918703846</v>
      </c>
      <c r="M61" s="244"/>
    </row>
    <row r="62" spans="2:13" x14ac:dyDescent="0.25">
      <c r="K62">
        <v>0.13</v>
      </c>
      <c r="L62">
        <v>9</v>
      </c>
    </row>
    <row r="63" spans="2:13" x14ac:dyDescent="0.25">
      <c r="H63" t="s">
        <v>332</v>
      </c>
      <c r="J63" t="s">
        <v>603</v>
      </c>
      <c r="K63" s="244">
        <f>+SUM(K2:K59)</f>
        <v>0.23740643918703846</v>
      </c>
      <c r="L63" s="244">
        <f>+AVERAGE(L2:L59)</f>
        <v>7.9853448275862063E-2</v>
      </c>
      <c r="M63" s="244">
        <f>+K63*0.1+L63*0.9</f>
        <v>9.5608747366979718E-2</v>
      </c>
    </row>
    <row r="64" spans="2:13" x14ac:dyDescent="0.25">
      <c r="I64" s="80"/>
      <c r="J64" t="s">
        <v>607</v>
      </c>
      <c r="K64" s="244">
        <f>+K63</f>
        <v>0.23740643918703846</v>
      </c>
      <c r="L64" s="244">
        <f>+L63</f>
        <v>7.9853448275862063E-2</v>
      </c>
      <c r="M64" s="244">
        <f>+K64*0.25+L64*0.9*0.75</f>
        <v>0.11325268738296651</v>
      </c>
    </row>
    <row r="65" spans="5:35" x14ac:dyDescent="0.25">
      <c r="J65" t="s">
        <v>608</v>
      </c>
      <c r="K65" s="244">
        <f t="shared" ref="K65:L66" si="10">+K64</f>
        <v>0.23740643918703846</v>
      </c>
      <c r="L65" s="244">
        <f t="shared" si="10"/>
        <v>7.9853448275862063E-2</v>
      </c>
      <c r="M65" s="244">
        <f>+K65*0.75+L65*0.25</f>
        <v>0.19801819145924435</v>
      </c>
    </row>
    <row r="66" spans="5:35" x14ac:dyDescent="0.25">
      <c r="J66" t="s">
        <v>609</v>
      </c>
      <c r="K66" s="244">
        <f t="shared" si="10"/>
        <v>0.23740643918703846</v>
      </c>
      <c r="L66" s="244">
        <f t="shared" si="10"/>
        <v>7.9853448275862063E-2</v>
      </c>
      <c r="M66" s="244">
        <f>+K66*0.9+L66*0.1</f>
        <v>0.22165114009592082</v>
      </c>
    </row>
    <row r="67" spans="5:35" ht="15.75" thickBot="1" x14ac:dyDescent="0.3">
      <c r="K67" s="244"/>
      <c r="L67" s="244"/>
      <c r="M67" s="244"/>
    </row>
    <row r="68" spans="5:35" ht="15.75" thickBot="1" x14ac:dyDescent="0.3">
      <c r="F68" s="432" t="s">
        <v>651</v>
      </c>
      <c r="G68" s="433"/>
      <c r="H68" s="433"/>
      <c r="I68" s="433"/>
      <c r="J68" s="433"/>
      <c r="K68" s="433"/>
      <c r="L68" s="428" t="s">
        <v>652</v>
      </c>
      <c r="M68" s="428"/>
      <c r="N68" s="428"/>
      <c r="O68" s="428"/>
      <c r="P68" s="428"/>
      <c r="Q68" s="428"/>
      <c r="R68" s="433" t="s">
        <v>653</v>
      </c>
      <c r="S68" s="433"/>
      <c r="T68" s="433"/>
      <c r="U68" s="433"/>
      <c r="V68" s="433"/>
      <c r="W68" s="434"/>
      <c r="X68" s="433" t="s">
        <v>654</v>
      </c>
      <c r="Y68" s="433"/>
      <c r="Z68" s="433"/>
      <c r="AA68" s="433"/>
      <c r="AB68" s="433"/>
      <c r="AC68" s="433"/>
      <c r="AD68" s="432" t="s">
        <v>690</v>
      </c>
      <c r="AE68" s="433"/>
      <c r="AF68" s="433"/>
      <c r="AG68" s="433"/>
      <c r="AH68" s="433"/>
      <c r="AI68" s="434"/>
    </row>
    <row r="69" spans="5:35" ht="15.75" thickBot="1" x14ac:dyDescent="0.3">
      <c r="F69" s="440" t="s">
        <v>688</v>
      </c>
      <c r="G69" s="438"/>
      <c r="H69" s="286" t="s">
        <v>593</v>
      </c>
      <c r="I69" s="286" t="s">
        <v>787</v>
      </c>
      <c r="J69" s="435" t="s">
        <v>789</v>
      </c>
      <c r="K69" s="439"/>
      <c r="L69" s="440" t="s">
        <v>688</v>
      </c>
      <c r="M69" s="438"/>
      <c r="N69" s="286" t="s">
        <v>593</v>
      </c>
      <c r="O69" s="286" t="s">
        <v>787</v>
      </c>
      <c r="P69" s="435" t="s">
        <v>789</v>
      </c>
      <c r="Q69" s="436"/>
      <c r="R69" s="440" t="s">
        <v>688</v>
      </c>
      <c r="S69" s="438"/>
      <c r="T69" s="286" t="s">
        <v>593</v>
      </c>
      <c r="U69" s="286" t="s">
        <v>787</v>
      </c>
      <c r="V69" s="435" t="s">
        <v>789</v>
      </c>
      <c r="W69" s="436"/>
      <c r="X69" s="437" t="s">
        <v>688</v>
      </c>
      <c r="Y69" s="438"/>
      <c r="Z69" s="286" t="s">
        <v>593</v>
      </c>
      <c r="AA69" s="286" t="s">
        <v>787</v>
      </c>
      <c r="AB69" s="435" t="s">
        <v>789</v>
      </c>
      <c r="AC69" s="439"/>
      <c r="AD69" s="440" t="s">
        <v>688</v>
      </c>
      <c r="AE69" s="438"/>
      <c r="AF69" s="286" t="s">
        <v>593</v>
      </c>
      <c r="AG69" s="286" t="s">
        <v>787</v>
      </c>
      <c r="AH69" s="435" t="s">
        <v>789</v>
      </c>
      <c r="AI69" s="436"/>
    </row>
    <row r="70" spans="5:35" ht="15.75" thickBot="1" x14ac:dyDescent="0.3">
      <c r="F70" s="285" t="s">
        <v>689</v>
      </c>
      <c r="G70" s="286" t="s">
        <v>683</v>
      </c>
      <c r="H70" s="287" t="s">
        <v>683</v>
      </c>
      <c r="I70" s="303" t="s">
        <v>683</v>
      </c>
      <c r="J70" s="285" t="s">
        <v>689</v>
      </c>
      <c r="K70" s="307" t="s">
        <v>683</v>
      </c>
      <c r="L70" s="285" t="s">
        <v>689</v>
      </c>
      <c r="M70" s="286" t="s">
        <v>683</v>
      </c>
      <c r="N70" s="287" t="s">
        <v>683</v>
      </c>
      <c r="O70" s="303" t="s">
        <v>788</v>
      </c>
      <c r="P70" s="285" t="s">
        <v>689</v>
      </c>
      <c r="Q70" s="287" t="s">
        <v>683</v>
      </c>
      <c r="R70" s="285" t="s">
        <v>689</v>
      </c>
      <c r="S70" s="286" t="s">
        <v>683</v>
      </c>
      <c r="T70" s="287" t="s">
        <v>683</v>
      </c>
      <c r="U70" s="303" t="s">
        <v>788</v>
      </c>
      <c r="V70" s="285" t="s">
        <v>689</v>
      </c>
      <c r="W70" s="287" t="s">
        <v>683</v>
      </c>
      <c r="X70" s="309" t="s">
        <v>689</v>
      </c>
      <c r="Y70" s="286" t="s">
        <v>683</v>
      </c>
      <c r="Z70" s="287" t="s">
        <v>683</v>
      </c>
      <c r="AA70" s="287" t="s">
        <v>683</v>
      </c>
      <c r="AB70" s="285" t="s">
        <v>689</v>
      </c>
      <c r="AC70" s="307" t="s">
        <v>683</v>
      </c>
      <c r="AD70" s="285" t="s">
        <v>689</v>
      </c>
      <c r="AE70" s="286" t="s">
        <v>683</v>
      </c>
      <c r="AF70" s="287" t="s">
        <v>683</v>
      </c>
      <c r="AG70" s="287" t="s">
        <v>683</v>
      </c>
      <c r="AH70" s="285" t="s">
        <v>689</v>
      </c>
      <c r="AI70" s="287" t="s">
        <v>683</v>
      </c>
    </row>
    <row r="71" spans="5:35" x14ac:dyDescent="0.25">
      <c r="E71" s="278" t="s">
        <v>673</v>
      </c>
      <c r="F71" s="273">
        <v>0.1</v>
      </c>
      <c r="G71" s="284">
        <v>0.25</v>
      </c>
      <c r="H71" s="284">
        <f>+$H$61</f>
        <v>0.23740643918703846</v>
      </c>
      <c r="I71" s="304">
        <v>0</v>
      </c>
      <c r="J71" s="300">
        <f t="shared" ref="J71:J78" si="11">+F71</f>
        <v>0.1</v>
      </c>
      <c r="K71" s="308">
        <f>+G71*$G$80+H71*$H$80+I71*$I$80</f>
        <v>0.24874064391870385</v>
      </c>
      <c r="L71" s="273">
        <v>0.1</v>
      </c>
      <c r="M71" s="284">
        <v>0.25</v>
      </c>
      <c r="N71" s="284">
        <f>+$H$61</f>
        <v>0.23740643918703846</v>
      </c>
      <c r="O71" s="304">
        <v>0.35</v>
      </c>
      <c r="P71" s="300">
        <f t="shared" ref="P71:P78" si="12">+L71</f>
        <v>0.1</v>
      </c>
      <c r="Q71" s="308">
        <f>+M71*$M$80+N71*$N$80+O71*$O$80</f>
        <v>0.2649625756748154</v>
      </c>
      <c r="R71" s="273">
        <v>0.1</v>
      </c>
      <c r="S71" s="284">
        <v>0.25</v>
      </c>
      <c r="T71" s="284">
        <f>+Q71*0.75+R71*0.25</f>
        <v>0.22372193175611155</v>
      </c>
      <c r="U71" s="304">
        <v>0.25</v>
      </c>
      <c r="V71" s="300">
        <f t="shared" ref="V71:V78" si="13">+R71</f>
        <v>0.1</v>
      </c>
      <c r="W71" s="308">
        <f>+S71*$G$80+T71*$H$80+U71*$I$80</f>
        <v>0.24737219317561115</v>
      </c>
      <c r="X71" s="310">
        <v>0.1</v>
      </c>
      <c r="Y71" s="284">
        <v>0.25</v>
      </c>
      <c r="Z71" s="284">
        <f>+$H$61</f>
        <v>0.23740643918703846</v>
      </c>
      <c r="AA71" s="304">
        <v>0.2</v>
      </c>
      <c r="AB71" s="300">
        <f>+X71</f>
        <v>0.1</v>
      </c>
      <c r="AC71" s="308">
        <f>+Y71*$G$80+Z71*$H$80+AA71*$I$80</f>
        <v>0.24874064391870385</v>
      </c>
      <c r="AD71" s="273">
        <v>0.1</v>
      </c>
      <c r="AE71" s="284">
        <v>0.25</v>
      </c>
      <c r="AF71" s="284">
        <f>+$H$61</f>
        <v>0.23740643918703846</v>
      </c>
      <c r="AG71" s="304">
        <v>0.15</v>
      </c>
      <c r="AH71" s="300">
        <f>+AD71</f>
        <v>0.1</v>
      </c>
      <c r="AI71" s="308">
        <f>+AE71*$G$80+AF71*$H$80+AG71*$I$80</f>
        <v>0.24874064391870385</v>
      </c>
    </row>
    <row r="72" spans="5:35" x14ac:dyDescent="0.25">
      <c r="E72" s="279" t="s">
        <v>674</v>
      </c>
      <c r="F72" s="267">
        <v>0.2</v>
      </c>
      <c r="G72" s="266">
        <v>0.4</v>
      </c>
      <c r="H72" s="266">
        <f t="shared" ref="H72:H78" si="14">+$H$61</f>
        <v>0.23740643918703846</v>
      </c>
      <c r="I72" s="305">
        <v>0</v>
      </c>
      <c r="J72" s="301">
        <f t="shared" si="11"/>
        <v>0.2</v>
      </c>
      <c r="K72" s="308">
        <f t="shared" ref="K72:K78" si="15">+G72*$G$80+H72*$H$80+I72*$I$80</f>
        <v>0.38374064391870388</v>
      </c>
      <c r="L72" s="267">
        <v>0.2</v>
      </c>
      <c r="M72" s="266">
        <v>0.4</v>
      </c>
      <c r="N72" s="266">
        <f t="shared" ref="N72:N78" si="16">+$H$61</f>
        <v>0.23740643918703846</v>
      </c>
      <c r="O72" s="304">
        <v>0.35</v>
      </c>
      <c r="P72" s="301">
        <f t="shared" si="12"/>
        <v>0.2</v>
      </c>
      <c r="Q72" s="308">
        <f t="shared" ref="Q72:Q78" si="17">+M72*$M$80+N72*$N$80+O72*$O$80</f>
        <v>0.3249625756748154</v>
      </c>
      <c r="R72" s="267">
        <v>0.2</v>
      </c>
      <c r="S72" s="266">
        <v>0.4</v>
      </c>
      <c r="T72" s="266">
        <f t="shared" ref="T72:T78" si="18">+$H$61</f>
        <v>0.23740643918703846</v>
      </c>
      <c r="U72" s="305">
        <v>0.25</v>
      </c>
      <c r="V72" s="301">
        <f t="shared" si="13"/>
        <v>0.2</v>
      </c>
      <c r="W72" s="308">
        <f t="shared" ref="W72:W78" si="19">+S72*$G$80+T72*$H$80+U72*$I$80</f>
        <v>0.38374064391870388</v>
      </c>
      <c r="X72" s="311">
        <v>0.2</v>
      </c>
      <c r="Y72" s="266">
        <v>0.4</v>
      </c>
      <c r="Z72" s="266">
        <f t="shared" ref="Z72:Z78" si="20">+$H$61</f>
        <v>0.23740643918703846</v>
      </c>
      <c r="AA72" s="305">
        <v>0.2</v>
      </c>
      <c r="AB72" s="301">
        <f>+X72</f>
        <v>0.2</v>
      </c>
      <c r="AC72" s="308">
        <f t="shared" ref="AC72:AC78" si="21">+Y72*$G$80+Z72*$H$80+AA72*$I$80</f>
        <v>0.38374064391870388</v>
      </c>
      <c r="AD72" s="267">
        <v>0.2</v>
      </c>
      <c r="AE72" s="266">
        <v>0.4</v>
      </c>
      <c r="AF72" s="266">
        <f t="shared" ref="AF72:AF78" si="22">+$H$61</f>
        <v>0.23740643918703846</v>
      </c>
      <c r="AG72" s="305">
        <v>0.15</v>
      </c>
      <c r="AH72" s="301">
        <f>+AD72</f>
        <v>0.2</v>
      </c>
      <c r="AI72" s="308">
        <f t="shared" ref="AI72:AI78" si="23">+AE72*$G$80+AF72*$H$80+AG72*$I$80</f>
        <v>0.38374064391870388</v>
      </c>
    </row>
    <row r="73" spans="5:35" x14ac:dyDescent="0.25">
      <c r="E73" s="279" t="s">
        <v>675</v>
      </c>
      <c r="F73" s="267">
        <v>0.2</v>
      </c>
      <c r="G73" s="266">
        <v>0.35</v>
      </c>
      <c r="H73" s="266">
        <f t="shared" si="14"/>
        <v>0.23740643918703846</v>
      </c>
      <c r="I73" s="305">
        <v>0</v>
      </c>
      <c r="J73" s="301">
        <f t="shared" si="11"/>
        <v>0.2</v>
      </c>
      <c r="K73" s="308">
        <f t="shared" si="15"/>
        <v>0.33874064391870384</v>
      </c>
      <c r="L73" s="267">
        <v>0.2</v>
      </c>
      <c r="M73" s="266">
        <v>0.35</v>
      </c>
      <c r="N73" s="266">
        <f t="shared" si="16"/>
        <v>0.23740643918703846</v>
      </c>
      <c r="O73" s="304">
        <v>0.35</v>
      </c>
      <c r="P73" s="301">
        <f t="shared" si="12"/>
        <v>0.2</v>
      </c>
      <c r="Q73" s="308">
        <f t="shared" si="17"/>
        <v>0.30496257567481538</v>
      </c>
      <c r="R73" s="267">
        <v>0.2</v>
      </c>
      <c r="S73" s="266">
        <v>0.35</v>
      </c>
      <c r="T73" s="266">
        <f t="shared" si="18"/>
        <v>0.23740643918703846</v>
      </c>
      <c r="U73" s="305">
        <v>0.25</v>
      </c>
      <c r="V73" s="301">
        <f t="shared" si="13"/>
        <v>0.2</v>
      </c>
      <c r="W73" s="308">
        <f t="shared" si="19"/>
        <v>0.33874064391870384</v>
      </c>
      <c r="X73" s="311">
        <v>0.2</v>
      </c>
      <c r="Y73" s="266">
        <v>0.35</v>
      </c>
      <c r="Z73" s="266">
        <f t="shared" si="20"/>
        <v>0.23740643918703846</v>
      </c>
      <c r="AA73" s="305">
        <v>0.2</v>
      </c>
      <c r="AB73" s="301">
        <f t="shared" ref="AB73:AB78" si="24">+X73</f>
        <v>0.2</v>
      </c>
      <c r="AC73" s="308">
        <f t="shared" si="21"/>
        <v>0.33874064391870384</v>
      </c>
      <c r="AD73" s="267">
        <v>0.2</v>
      </c>
      <c r="AE73" s="266">
        <v>0.35</v>
      </c>
      <c r="AF73" s="266">
        <f t="shared" si="22"/>
        <v>0.23740643918703846</v>
      </c>
      <c r="AG73" s="305">
        <v>0.15</v>
      </c>
      <c r="AH73" s="301">
        <f t="shared" ref="AH73:AH78" si="25">+AD73</f>
        <v>0.2</v>
      </c>
      <c r="AI73" s="308">
        <f t="shared" si="23"/>
        <v>0.33874064391870384</v>
      </c>
    </row>
    <row r="74" spans="5:35" x14ac:dyDescent="0.25">
      <c r="E74" s="279" t="s">
        <v>676</v>
      </c>
      <c r="F74" s="267">
        <v>0.2</v>
      </c>
      <c r="G74" s="266">
        <v>0.4</v>
      </c>
      <c r="H74" s="266">
        <f t="shared" si="14"/>
        <v>0.23740643918703846</v>
      </c>
      <c r="I74" s="305">
        <v>0</v>
      </c>
      <c r="J74" s="301">
        <f t="shared" si="11"/>
        <v>0.2</v>
      </c>
      <c r="K74" s="308">
        <f t="shared" si="15"/>
        <v>0.38374064391870388</v>
      </c>
      <c r="L74" s="267">
        <v>0.2</v>
      </c>
      <c r="M74" s="266">
        <v>0.4</v>
      </c>
      <c r="N74" s="266">
        <f t="shared" si="16"/>
        <v>0.23740643918703846</v>
      </c>
      <c r="O74" s="304">
        <v>0.35</v>
      </c>
      <c r="P74" s="301">
        <f t="shared" si="12"/>
        <v>0.2</v>
      </c>
      <c r="Q74" s="308">
        <f t="shared" si="17"/>
        <v>0.3249625756748154</v>
      </c>
      <c r="R74" s="267">
        <v>0.2</v>
      </c>
      <c r="S74" s="266">
        <v>0.4</v>
      </c>
      <c r="T74" s="266">
        <f t="shared" si="18"/>
        <v>0.23740643918703846</v>
      </c>
      <c r="U74" s="305">
        <v>0.25</v>
      </c>
      <c r="V74" s="301">
        <f t="shared" si="13"/>
        <v>0.2</v>
      </c>
      <c r="W74" s="308">
        <f t="shared" si="19"/>
        <v>0.38374064391870388</v>
      </c>
      <c r="X74" s="311">
        <v>0.2</v>
      </c>
      <c r="Y74" s="266">
        <v>0.4</v>
      </c>
      <c r="Z74" s="266">
        <f t="shared" si="20"/>
        <v>0.23740643918703846</v>
      </c>
      <c r="AA74" s="305">
        <v>0.2</v>
      </c>
      <c r="AB74" s="301">
        <f t="shared" si="24"/>
        <v>0.2</v>
      </c>
      <c r="AC74" s="308">
        <f t="shared" si="21"/>
        <v>0.38374064391870388</v>
      </c>
      <c r="AD74" s="267">
        <v>0.2</v>
      </c>
      <c r="AE74" s="266">
        <v>0.4</v>
      </c>
      <c r="AF74" s="266">
        <f t="shared" si="22"/>
        <v>0.23740643918703846</v>
      </c>
      <c r="AG74" s="305">
        <v>0.15</v>
      </c>
      <c r="AH74" s="301">
        <f t="shared" si="25"/>
        <v>0.2</v>
      </c>
      <c r="AI74" s="308">
        <f t="shared" si="23"/>
        <v>0.38374064391870388</v>
      </c>
    </row>
    <row r="75" spans="5:35" x14ac:dyDescent="0.25">
      <c r="E75" s="279" t="s">
        <v>677</v>
      </c>
      <c r="F75" s="267">
        <v>0.2</v>
      </c>
      <c r="G75" s="266">
        <v>0.4</v>
      </c>
      <c r="H75" s="266">
        <f t="shared" si="14"/>
        <v>0.23740643918703846</v>
      </c>
      <c r="I75" s="305">
        <v>0</v>
      </c>
      <c r="J75" s="301">
        <f t="shared" si="11"/>
        <v>0.2</v>
      </c>
      <c r="K75" s="308">
        <f t="shared" si="15"/>
        <v>0.38374064391870388</v>
      </c>
      <c r="L75" s="267">
        <v>0.2</v>
      </c>
      <c r="M75" s="266">
        <v>0.4</v>
      </c>
      <c r="N75" s="266">
        <f t="shared" si="16"/>
        <v>0.23740643918703846</v>
      </c>
      <c r="O75" s="304">
        <v>0.35</v>
      </c>
      <c r="P75" s="301">
        <f t="shared" si="12"/>
        <v>0.2</v>
      </c>
      <c r="Q75" s="308">
        <f t="shared" si="17"/>
        <v>0.3249625756748154</v>
      </c>
      <c r="R75" s="267">
        <v>0.2</v>
      </c>
      <c r="S75" s="266">
        <v>0.4</v>
      </c>
      <c r="T75" s="266">
        <f t="shared" si="18"/>
        <v>0.23740643918703846</v>
      </c>
      <c r="U75" s="305">
        <v>0.25</v>
      </c>
      <c r="V75" s="301">
        <f t="shared" si="13"/>
        <v>0.2</v>
      </c>
      <c r="W75" s="308">
        <f t="shared" si="19"/>
        <v>0.38374064391870388</v>
      </c>
      <c r="X75" s="311">
        <v>0.2</v>
      </c>
      <c r="Y75" s="266">
        <v>0.4</v>
      </c>
      <c r="Z75" s="266">
        <f t="shared" si="20"/>
        <v>0.23740643918703846</v>
      </c>
      <c r="AA75" s="305">
        <v>0.2</v>
      </c>
      <c r="AB75" s="301">
        <f t="shared" si="24"/>
        <v>0.2</v>
      </c>
      <c r="AC75" s="308">
        <f t="shared" si="21"/>
        <v>0.38374064391870388</v>
      </c>
      <c r="AD75" s="267">
        <v>0.2</v>
      </c>
      <c r="AE75" s="266">
        <v>0.4</v>
      </c>
      <c r="AF75" s="266">
        <f t="shared" si="22"/>
        <v>0.23740643918703846</v>
      </c>
      <c r="AG75" s="305">
        <v>0.15</v>
      </c>
      <c r="AH75" s="301">
        <f t="shared" si="25"/>
        <v>0.2</v>
      </c>
      <c r="AI75" s="308">
        <f t="shared" si="23"/>
        <v>0.38374064391870388</v>
      </c>
    </row>
    <row r="76" spans="5:35" x14ac:dyDescent="0.25">
      <c r="E76" s="279" t="s">
        <v>678</v>
      </c>
      <c r="F76" s="267">
        <v>0.1</v>
      </c>
      <c r="G76" s="266">
        <v>0.25</v>
      </c>
      <c r="H76" s="266">
        <f t="shared" si="14"/>
        <v>0.23740643918703846</v>
      </c>
      <c r="I76" s="305">
        <v>0</v>
      </c>
      <c r="J76" s="301">
        <f t="shared" si="11"/>
        <v>0.1</v>
      </c>
      <c r="K76" s="308">
        <f t="shared" si="15"/>
        <v>0.24874064391870385</v>
      </c>
      <c r="L76" s="267">
        <v>0.1</v>
      </c>
      <c r="M76" s="266">
        <v>0.25</v>
      </c>
      <c r="N76" s="266">
        <f t="shared" si="16"/>
        <v>0.23740643918703846</v>
      </c>
      <c r="O76" s="304">
        <v>0.35</v>
      </c>
      <c r="P76" s="301">
        <f t="shared" si="12"/>
        <v>0.1</v>
      </c>
      <c r="Q76" s="308">
        <f t="shared" si="17"/>
        <v>0.2649625756748154</v>
      </c>
      <c r="R76" s="267">
        <v>0.1</v>
      </c>
      <c r="S76" s="266">
        <v>0.25</v>
      </c>
      <c r="T76" s="266">
        <f t="shared" si="18"/>
        <v>0.23740643918703846</v>
      </c>
      <c r="U76" s="305">
        <v>0.25</v>
      </c>
      <c r="V76" s="301">
        <f t="shared" si="13"/>
        <v>0.1</v>
      </c>
      <c r="W76" s="308">
        <f t="shared" si="19"/>
        <v>0.24874064391870385</v>
      </c>
      <c r="X76" s="311">
        <v>0.1</v>
      </c>
      <c r="Y76" s="266">
        <v>0.25</v>
      </c>
      <c r="Z76" s="266">
        <f t="shared" si="20"/>
        <v>0.23740643918703846</v>
      </c>
      <c r="AA76" s="305">
        <v>0.2</v>
      </c>
      <c r="AB76" s="301">
        <f t="shared" si="24"/>
        <v>0.1</v>
      </c>
      <c r="AC76" s="308">
        <f t="shared" si="21"/>
        <v>0.24874064391870385</v>
      </c>
      <c r="AD76" s="267">
        <v>0.1</v>
      </c>
      <c r="AE76" s="266">
        <v>0.25</v>
      </c>
      <c r="AF76" s="266">
        <f t="shared" si="22"/>
        <v>0.23740643918703846</v>
      </c>
      <c r="AG76" s="305">
        <v>0.15</v>
      </c>
      <c r="AH76" s="301">
        <f t="shared" si="25"/>
        <v>0.1</v>
      </c>
      <c r="AI76" s="308">
        <f t="shared" si="23"/>
        <v>0.24874064391870385</v>
      </c>
    </row>
    <row r="77" spans="5:35" x14ac:dyDescent="0.25">
      <c r="E77" s="279" t="s">
        <v>679</v>
      </c>
      <c r="F77" s="282">
        <v>0.1</v>
      </c>
      <c r="G77" s="281">
        <v>0.25</v>
      </c>
      <c r="H77" s="281">
        <f t="shared" si="14"/>
        <v>0.23740643918703846</v>
      </c>
      <c r="I77" s="305">
        <v>0</v>
      </c>
      <c r="J77" s="301">
        <f t="shared" si="11"/>
        <v>0.1</v>
      </c>
      <c r="K77" s="308">
        <f t="shared" si="15"/>
        <v>0.24874064391870385</v>
      </c>
      <c r="L77" s="282">
        <v>0.1</v>
      </c>
      <c r="M77" s="281">
        <v>0.25</v>
      </c>
      <c r="N77" s="281">
        <f t="shared" si="16"/>
        <v>0.23740643918703846</v>
      </c>
      <c r="O77" s="304">
        <v>0.35</v>
      </c>
      <c r="P77" s="301">
        <f t="shared" si="12"/>
        <v>0.1</v>
      </c>
      <c r="Q77" s="308">
        <f t="shared" si="17"/>
        <v>0.2649625756748154</v>
      </c>
      <c r="R77" s="282">
        <v>0.1</v>
      </c>
      <c r="S77" s="281">
        <v>0.25</v>
      </c>
      <c r="T77" s="281">
        <f t="shared" si="18"/>
        <v>0.23740643918703846</v>
      </c>
      <c r="U77" s="305">
        <v>0.25</v>
      </c>
      <c r="V77" s="301">
        <f t="shared" si="13"/>
        <v>0.1</v>
      </c>
      <c r="W77" s="308">
        <f t="shared" si="19"/>
        <v>0.24874064391870385</v>
      </c>
      <c r="X77" s="312">
        <v>0.1</v>
      </c>
      <c r="Y77" s="281">
        <v>0.25</v>
      </c>
      <c r="Z77" s="281">
        <f t="shared" si="20"/>
        <v>0.23740643918703846</v>
      </c>
      <c r="AA77" s="305">
        <v>0.2</v>
      </c>
      <c r="AB77" s="301">
        <f t="shared" si="24"/>
        <v>0.1</v>
      </c>
      <c r="AC77" s="308">
        <f t="shared" si="21"/>
        <v>0.24874064391870385</v>
      </c>
      <c r="AD77" s="282">
        <v>0.1</v>
      </c>
      <c r="AE77" s="281">
        <v>0.25</v>
      </c>
      <c r="AF77" s="281">
        <f t="shared" si="22"/>
        <v>0.23740643918703846</v>
      </c>
      <c r="AG77" s="305">
        <v>0.15</v>
      </c>
      <c r="AH77" s="301">
        <f t="shared" si="25"/>
        <v>0.1</v>
      </c>
      <c r="AI77" s="308">
        <f t="shared" si="23"/>
        <v>0.24874064391870385</v>
      </c>
    </row>
    <row r="78" spans="5:35" ht="15.75" thickBot="1" x14ac:dyDescent="0.3">
      <c r="E78" s="280" t="s">
        <v>680</v>
      </c>
      <c r="F78" s="269">
        <v>0.1</v>
      </c>
      <c r="G78" s="283">
        <v>0.25</v>
      </c>
      <c r="H78" s="283">
        <f t="shared" si="14"/>
        <v>0.23740643918703846</v>
      </c>
      <c r="I78" s="306">
        <v>0</v>
      </c>
      <c r="J78" s="302">
        <f t="shared" si="11"/>
        <v>0.1</v>
      </c>
      <c r="K78" s="308">
        <f t="shared" si="15"/>
        <v>0.24874064391870385</v>
      </c>
      <c r="L78" s="269">
        <v>0.1</v>
      </c>
      <c r="M78" s="283">
        <v>0.25</v>
      </c>
      <c r="N78" s="283">
        <f t="shared" si="16"/>
        <v>0.23740643918703846</v>
      </c>
      <c r="O78" s="314">
        <v>0.35</v>
      </c>
      <c r="P78" s="302">
        <f t="shared" si="12"/>
        <v>0.1</v>
      </c>
      <c r="Q78" s="308">
        <f t="shared" si="17"/>
        <v>0.2649625756748154</v>
      </c>
      <c r="R78" s="269">
        <v>0.1</v>
      </c>
      <c r="S78" s="283">
        <v>0.25</v>
      </c>
      <c r="T78" s="283">
        <f t="shared" si="18"/>
        <v>0.23740643918703846</v>
      </c>
      <c r="U78" s="306">
        <v>0.25</v>
      </c>
      <c r="V78" s="302">
        <f t="shared" si="13"/>
        <v>0.1</v>
      </c>
      <c r="W78" s="308">
        <f t="shared" si="19"/>
        <v>0.24874064391870385</v>
      </c>
      <c r="X78" s="313">
        <v>0.1</v>
      </c>
      <c r="Y78" s="283">
        <v>0.25</v>
      </c>
      <c r="Z78" s="283">
        <f t="shared" si="20"/>
        <v>0.23740643918703846</v>
      </c>
      <c r="AA78" s="306">
        <v>0.2</v>
      </c>
      <c r="AB78" s="302">
        <f t="shared" si="24"/>
        <v>0.1</v>
      </c>
      <c r="AC78" s="308">
        <f t="shared" si="21"/>
        <v>0.24874064391870385</v>
      </c>
      <c r="AD78" s="269">
        <v>0.1</v>
      </c>
      <c r="AE78" s="283">
        <v>0.25</v>
      </c>
      <c r="AF78" s="283">
        <f t="shared" si="22"/>
        <v>0.23740643918703846</v>
      </c>
      <c r="AG78" s="306">
        <v>0.15</v>
      </c>
      <c r="AH78" s="302">
        <f t="shared" si="25"/>
        <v>0.1</v>
      </c>
      <c r="AI78" s="308">
        <f t="shared" si="23"/>
        <v>0.24874064391870385</v>
      </c>
    </row>
    <row r="80" spans="5:35" x14ac:dyDescent="0.25">
      <c r="G80" s="315">
        <v>0.9</v>
      </c>
      <c r="H80" s="315">
        <v>0.1</v>
      </c>
      <c r="I80" s="315">
        <v>0</v>
      </c>
      <c r="M80" s="315">
        <v>0.4</v>
      </c>
      <c r="N80" s="315">
        <v>0.4</v>
      </c>
      <c r="O80" s="315">
        <v>0.2</v>
      </c>
      <c r="S80" s="315">
        <v>0.3</v>
      </c>
      <c r="T80" s="315">
        <v>0.3</v>
      </c>
      <c r="U80" s="315">
        <v>0.4</v>
      </c>
      <c r="Y80" s="315">
        <v>0.2</v>
      </c>
      <c r="Z80" s="315">
        <v>0.2</v>
      </c>
      <c r="AA80" s="315">
        <v>0.6</v>
      </c>
      <c r="AE80" s="315">
        <v>0.1</v>
      </c>
      <c r="AF80" s="315">
        <v>0.1</v>
      </c>
      <c r="AG80" s="315">
        <v>0.8</v>
      </c>
    </row>
  </sheetData>
  <sortState ref="B1:M59">
    <sortCondition descending="1" ref="G2"/>
  </sortState>
  <mergeCells count="15">
    <mergeCell ref="X68:AC68"/>
    <mergeCell ref="AB69:AC69"/>
    <mergeCell ref="AH69:AI69"/>
    <mergeCell ref="AD68:AI68"/>
    <mergeCell ref="X69:Y69"/>
    <mergeCell ref="AD69:AE69"/>
    <mergeCell ref="V69:W69"/>
    <mergeCell ref="R68:W68"/>
    <mergeCell ref="F69:G69"/>
    <mergeCell ref="L69:M69"/>
    <mergeCell ref="R69:S69"/>
    <mergeCell ref="J69:K69"/>
    <mergeCell ref="F68:K68"/>
    <mergeCell ref="P69:Q69"/>
    <mergeCell ref="L68:Q68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J13"/>
  <sheetViews>
    <sheetView workbookViewId="0">
      <selection activeCell="F4" sqref="F4"/>
    </sheetView>
  </sheetViews>
  <sheetFormatPr baseColWidth="10" defaultRowHeight="15" x14ac:dyDescent="0.25"/>
  <cols>
    <col min="2" max="2" width="19" customWidth="1"/>
    <col min="8" max="8" width="14.5703125" customWidth="1"/>
  </cols>
  <sheetData>
    <row r="3" spans="2:10" ht="15.75" thickBot="1" x14ac:dyDescent="0.3"/>
    <row r="4" spans="2:10" ht="15.75" thickBot="1" x14ac:dyDescent="0.3">
      <c r="B4" s="243"/>
      <c r="C4" s="271" t="s">
        <v>681</v>
      </c>
      <c r="D4" s="272"/>
      <c r="E4" s="271" t="s">
        <v>684</v>
      </c>
      <c r="F4" s="272"/>
      <c r="G4" s="271" t="s">
        <v>685</v>
      </c>
      <c r="H4" s="272"/>
    </row>
    <row r="5" spans="2:10" ht="15.75" thickBot="1" x14ac:dyDescent="0.3">
      <c r="B5" s="275" t="s">
        <v>672</v>
      </c>
      <c r="C5" s="276" t="s">
        <v>682</v>
      </c>
      <c r="D5" s="277" t="s">
        <v>683</v>
      </c>
      <c r="E5" s="276" t="s">
        <v>682</v>
      </c>
      <c r="F5" s="277" t="s">
        <v>683</v>
      </c>
      <c r="G5" s="276" t="s">
        <v>682</v>
      </c>
      <c r="H5" s="277" t="s">
        <v>683</v>
      </c>
    </row>
    <row r="6" spans="2:10" x14ac:dyDescent="0.25">
      <c r="B6" s="278" t="s">
        <v>673</v>
      </c>
      <c r="C6" s="273">
        <v>0</v>
      </c>
      <c r="D6" s="274">
        <v>0</v>
      </c>
      <c r="E6" s="273">
        <v>0.2</v>
      </c>
      <c r="F6" s="274">
        <v>0.25</v>
      </c>
      <c r="G6" s="273">
        <v>0.1</v>
      </c>
      <c r="H6" s="274">
        <v>0.25</v>
      </c>
      <c r="I6" s="33"/>
      <c r="J6" s="33"/>
    </row>
    <row r="7" spans="2:10" x14ac:dyDescent="0.25">
      <c r="B7" s="279" t="s">
        <v>674</v>
      </c>
      <c r="C7" s="267">
        <v>0</v>
      </c>
      <c r="D7" s="268">
        <v>0</v>
      </c>
      <c r="E7" s="267">
        <v>0.2</v>
      </c>
      <c r="F7" s="268">
        <v>0.25</v>
      </c>
      <c r="G7" s="267">
        <v>0.2</v>
      </c>
      <c r="H7" s="268">
        <v>0.4</v>
      </c>
      <c r="I7" s="33"/>
      <c r="J7" s="33"/>
    </row>
    <row r="8" spans="2:10" x14ac:dyDescent="0.25">
      <c r="B8" s="279" t="s">
        <v>675</v>
      </c>
      <c r="C8" s="267">
        <v>0.1</v>
      </c>
      <c r="D8" s="268">
        <v>0.25</v>
      </c>
      <c r="E8" s="267">
        <v>0.2</v>
      </c>
      <c r="F8" s="268">
        <v>0.25</v>
      </c>
      <c r="G8" s="267">
        <v>0.2</v>
      </c>
      <c r="H8" s="268">
        <v>0.35</v>
      </c>
      <c r="I8" s="33"/>
      <c r="J8" s="33"/>
    </row>
    <row r="9" spans="2:10" x14ac:dyDescent="0.25">
      <c r="B9" s="279" t="s">
        <v>676</v>
      </c>
      <c r="C9" s="267">
        <v>0.1</v>
      </c>
      <c r="D9" s="268">
        <v>0.25</v>
      </c>
      <c r="E9" s="267">
        <v>0.2</v>
      </c>
      <c r="F9" s="268">
        <v>0.4</v>
      </c>
      <c r="G9" s="267">
        <v>0.2</v>
      </c>
      <c r="H9" s="268">
        <v>0.4</v>
      </c>
      <c r="I9" s="33"/>
      <c r="J9" s="33"/>
    </row>
    <row r="10" spans="2:10" x14ac:dyDescent="0.25">
      <c r="B10" s="279" t="s">
        <v>677</v>
      </c>
      <c r="C10" s="267">
        <v>0.1</v>
      </c>
      <c r="D10" s="268">
        <v>0.25</v>
      </c>
      <c r="E10" s="267">
        <v>0.2</v>
      </c>
      <c r="F10" s="268">
        <v>0.4</v>
      </c>
      <c r="G10" s="267">
        <v>0.2</v>
      </c>
      <c r="H10" s="268">
        <v>0.4</v>
      </c>
      <c r="I10" s="33"/>
      <c r="J10" s="33"/>
    </row>
    <row r="11" spans="2:10" x14ac:dyDescent="0.25">
      <c r="B11" s="279" t="s">
        <v>678</v>
      </c>
      <c r="C11" s="267">
        <v>0</v>
      </c>
      <c r="D11" s="268">
        <v>0</v>
      </c>
      <c r="E11" s="267">
        <v>0.2</v>
      </c>
      <c r="F11" s="268">
        <v>0.25</v>
      </c>
      <c r="G11" s="267">
        <v>0.1</v>
      </c>
      <c r="H11" s="268">
        <v>0.25</v>
      </c>
      <c r="I11" s="33"/>
      <c r="J11" s="33"/>
    </row>
    <row r="12" spans="2:10" x14ac:dyDescent="0.25">
      <c r="B12" s="279" t="s">
        <v>679</v>
      </c>
      <c r="C12" s="267">
        <v>0</v>
      </c>
      <c r="D12" s="268">
        <v>0</v>
      </c>
      <c r="E12" s="441" t="s">
        <v>686</v>
      </c>
      <c r="F12" s="442"/>
      <c r="G12" s="442"/>
      <c r="H12" s="443"/>
      <c r="I12" s="33"/>
      <c r="J12" s="33"/>
    </row>
    <row r="13" spans="2:10" ht="15.75" thickBot="1" x14ac:dyDescent="0.3">
      <c r="B13" s="280" t="s">
        <v>680</v>
      </c>
      <c r="C13" s="269">
        <v>0</v>
      </c>
      <c r="D13" s="270">
        <v>0</v>
      </c>
      <c r="E13" s="269">
        <v>0.25</v>
      </c>
      <c r="F13" s="270">
        <v>0.4</v>
      </c>
      <c r="G13" s="269">
        <v>0.1</v>
      </c>
      <c r="H13" s="270">
        <v>0.25</v>
      </c>
      <c r="I13" s="33"/>
      <c r="J13" s="33"/>
    </row>
  </sheetData>
  <mergeCells count="1">
    <mergeCell ref="E12:H1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G158"/>
  <sheetViews>
    <sheetView topLeftCell="E1" zoomScale="55" zoomScaleNormal="55" workbookViewId="0">
      <selection activeCell="O27" sqref="O27"/>
    </sheetView>
  </sheetViews>
  <sheetFormatPr baseColWidth="10" defaultRowHeight="15" x14ac:dyDescent="0.25"/>
  <cols>
    <col min="2" max="2" width="20" customWidth="1"/>
    <col min="3" max="3" width="8.140625" customWidth="1"/>
    <col min="4" max="4" width="84.140625" customWidth="1"/>
    <col min="5" max="5" width="11.42578125" customWidth="1"/>
    <col min="6" max="6" width="15.42578125" hidden="1" customWidth="1"/>
    <col min="7" max="7" width="19.42578125" customWidth="1"/>
    <col min="8" max="8" width="20.140625" hidden="1" customWidth="1"/>
    <col min="9" max="9" width="23.85546875" customWidth="1"/>
    <col min="10" max="11" width="11.42578125" customWidth="1"/>
    <col min="12" max="12" width="13" customWidth="1"/>
    <col min="13" max="14" width="22" bestFit="1" customWidth="1"/>
    <col min="15" max="15" width="21.140625" bestFit="1" customWidth="1"/>
    <col min="16" max="18" width="11.42578125" customWidth="1"/>
    <col min="19" max="21" width="22" bestFit="1" customWidth="1"/>
    <col min="22" max="24" width="0" hidden="1" customWidth="1"/>
    <col min="25" max="25" width="15.7109375" hidden="1" customWidth="1"/>
    <col min="26" max="26" width="16" hidden="1" customWidth="1"/>
    <col min="27" max="27" width="17.5703125" hidden="1" customWidth="1"/>
    <col min="28" max="30" width="0" hidden="1" customWidth="1"/>
    <col min="31" max="31" width="15.7109375" hidden="1" customWidth="1"/>
    <col min="32" max="32" width="16" hidden="1" customWidth="1"/>
    <col min="33" max="33" width="17.5703125" hidden="1" customWidth="1"/>
  </cols>
  <sheetData>
    <row r="1" spans="2:33" ht="15.75" thickBot="1" x14ac:dyDescent="0.3"/>
    <row r="2" spans="2:33" ht="18.75" thickBot="1" x14ac:dyDescent="0.3">
      <c r="J2" s="444" t="s">
        <v>651</v>
      </c>
      <c r="K2" s="445"/>
      <c r="L2" s="445"/>
      <c r="M2" s="445"/>
      <c r="N2" s="445"/>
      <c r="O2" s="450"/>
      <c r="P2" s="445" t="s">
        <v>652</v>
      </c>
      <c r="Q2" s="445"/>
      <c r="R2" s="445"/>
      <c r="S2" s="445"/>
      <c r="T2" s="445"/>
      <c r="U2" s="445"/>
      <c r="V2" s="444" t="s">
        <v>653</v>
      </c>
      <c r="W2" s="445"/>
      <c r="X2" s="445"/>
      <c r="Y2" s="445"/>
      <c r="Z2" s="445"/>
      <c r="AA2" s="445"/>
      <c r="AB2" s="444" t="s">
        <v>654</v>
      </c>
      <c r="AC2" s="445"/>
      <c r="AD2" s="445"/>
      <c r="AE2" s="445"/>
      <c r="AF2" s="445"/>
      <c r="AG2" s="445"/>
    </row>
    <row r="3" spans="2:33" ht="18.75" thickBot="1" x14ac:dyDescent="0.3">
      <c r="J3" s="446" t="s">
        <v>332</v>
      </c>
      <c r="K3" s="447"/>
      <c r="L3" s="448"/>
      <c r="M3" s="446" t="s">
        <v>333</v>
      </c>
      <c r="N3" s="447"/>
      <c r="O3" s="449"/>
      <c r="P3" s="446" t="s">
        <v>332</v>
      </c>
      <c r="Q3" s="447"/>
      <c r="R3" s="449"/>
      <c r="S3" s="451" t="s">
        <v>333</v>
      </c>
      <c r="T3" s="447"/>
      <c r="U3" s="449"/>
      <c r="V3" s="446" t="s">
        <v>332</v>
      </c>
      <c r="W3" s="447"/>
      <c r="X3" s="448"/>
      <c r="Y3" s="446" t="s">
        <v>333</v>
      </c>
      <c r="Z3" s="447"/>
      <c r="AA3" s="449"/>
      <c r="AB3" s="446" t="s">
        <v>332</v>
      </c>
      <c r="AC3" s="447"/>
      <c r="AD3" s="448"/>
      <c r="AE3" s="446" t="s">
        <v>333</v>
      </c>
      <c r="AF3" s="447"/>
      <c r="AG3" s="449"/>
    </row>
    <row r="4" spans="2:33" ht="28.5" customHeight="1" thickBot="1" x14ac:dyDescent="0.3">
      <c r="B4" s="101" t="s">
        <v>398</v>
      </c>
      <c r="C4" s="101" t="s">
        <v>399</v>
      </c>
      <c r="D4" s="102" t="s">
        <v>400</v>
      </c>
      <c r="E4" s="101" t="s">
        <v>401</v>
      </c>
      <c r="F4" s="103" t="s">
        <v>402</v>
      </c>
      <c r="G4" s="104" t="s">
        <v>614</v>
      </c>
      <c r="H4" s="104" t="s">
        <v>403</v>
      </c>
      <c r="I4" s="127" t="s">
        <v>832</v>
      </c>
      <c r="J4" s="136" t="s">
        <v>668</v>
      </c>
      <c r="K4" s="137" t="s">
        <v>669</v>
      </c>
      <c r="L4" s="200" t="s">
        <v>670</v>
      </c>
      <c r="M4" s="136" t="s">
        <v>559</v>
      </c>
      <c r="N4" s="137" t="s">
        <v>560</v>
      </c>
      <c r="O4" s="138" t="s">
        <v>561</v>
      </c>
      <c r="P4" s="136" t="s">
        <v>668</v>
      </c>
      <c r="Q4" s="137" t="s">
        <v>669</v>
      </c>
      <c r="R4" s="297" t="s">
        <v>670</v>
      </c>
      <c r="S4" s="292" t="s">
        <v>559</v>
      </c>
      <c r="T4" s="137" t="s">
        <v>560</v>
      </c>
      <c r="U4" s="138" t="s">
        <v>561</v>
      </c>
      <c r="V4" s="136" t="s">
        <v>668</v>
      </c>
      <c r="W4" s="137" t="s">
        <v>669</v>
      </c>
      <c r="X4" s="200" t="s">
        <v>670</v>
      </c>
      <c r="Y4" s="136" t="s">
        <v>559</v>
      </c>
      <c r="Z4" s="137" t="s">
        <v>560</v>
      </c>
      <c r="AA4" s="138" t="s">
        <v>561</v>
      </c>
      <c r="AB4" s="136" t="s">
        <v>668</v>
      </c>
      <c r="AC4" s="137" t="s">
        <v>669</v>
      </c>
      <c r="AD4" s="200" t="s">
        <v>670</v>
      </c>
      <c r="AE4" s="136" t="s">
        <v>559</v>
      </c>
      <c r="AF4" s="137" t="s">
        <v>560</v>
      </c>
      <c r="AG4" s="138" t="s">
        <v>561</v>
      </c>
    </row>
    <row r="5" spans="2:33" ht="18" x14ac:dyDescent="0.25">
      <c r="B5" s="105" t="s">
        <v>404</v>
      </c>
      <c r="C5" s="105">
        <v>1</v>
      </c>
      <c r="D5" s="106" t="s">
        <v>611</v>
      </c>
      <c r="E5" s="107"/>
      <c r="F5" s="108"/>
      <c r="G5" s="109"/>
      <c r="H5" s="109"/>
      <c r="I5" s="128"/>
      <c r="J5" s="134">
        <f>+SUM(J6:J9)</f>
        <v>51</v>
      </c>
      <c r="K5" s="134">
        <f>+SUM(K6:K9)</f>
        <v>60</v>
      </c>
      <c r="L5" s="134">
        <f>+SUM(L6:L9)</f>
        <v>64.67299017963056</v>
      </c>
      <c r="M5" s="133"/>
      <c r="N5" s="134"/>
      <c r="O5" s="135"/>
      <c r="P5" s="133"/>
      <c r="Q5" s="134"/>
      <c r="R5" s="135"/>
      <c r="S5" s="293"/>
      <c r="T5" s="134"/>
      <c r="U5" s="135"/>
      <c r="V5" s="133"/>
      <c r="W5" s="134"/>
      <c r="X5" s="201"/>
      <c r="Y5" s="133"/>
      <c r="Z5" s="134"/>
      <c r="AA5" s="135"/>
      <c r="AB5" s="133"/>
      <c r="AC5" s="134"/>
      <c r="AD5" s="201"/>
      <c r="AE5" s="133"/>
      <c r="AF5" s="134"/>
      <c r="AG5" s="135"/>
    </row>
    <row r="6" spans="2:33" ht="18" x14ac:dyDescent="0.25">
      <c r="B6" s="110" t="s">
        <v>406</v>
      </c>
      <c r="C6" s="111" t="s">
        <v>407</v>
      </c>
      <c r="D6" s="112" t="s">
        <v>574</v>
      </c>
      <c r="E6" s="113" t="s">
        <v>411</v>
      </c>
      <c r="F6" s="112">
        <v>1</v>
      </c>
      <c r="G6" s="114">
        <v>10</v>
      </c>
      <c r="H6" s="114">
        <f>2*'Costo HH'!$D$8*G6</f>
        <v>1072000</v>
      </c>
      <c r="I6" s="129">
        <f>+F6*H6</f>
        <v>1072000</v>
      </c>
      <c r="J6" s="343">
        <f>+K6-'Jerarq. Riesgos Plazo'!$K$74*'Aplicación proyecto JE'!K6</f>
        <v>8.5</v>
      </c>
      <c r="K6" s="203">
        <f>+G6</f>
        <v>10</v>
      </c>
      <c r="L6" s="202">
        <f>+K6*('Jerarq. Riesgos Plazo'!$L$74+1)</f>
        <v>10.778831696605094</v>
      </c>
      <c r="M6" s="64">
        <f>+N6*(-'Jerarq. Riesgos Costos'!$J$78+1)</f>
        <v>964800</v>
      </c>
      <c r="N6" s="203">
        <f>+I6</f>
        <v>1072000</v>
      </c>
      <c r="O6" s="49">
        <f>+N6*('Jerarq. Riesgos Costos'!$K$78+1)</f>
        <v>1338649.9702808505</v>
      </c>
      <c r="P6" s="29"/>
      <c r="Q6" s="203"/>
      <c r="R6" s="264"/>
      <c r="S6" s="38"/>
      <c r="T6" s="203"/>
      <c r="U6" s="34"/>
      <c r="V6" s="59">
        <v>8</v>
      </c>
      <c r="W6" s="203">
        <f>+S6</f>
        <v>0</v>
      </c>
      <c r="X6" s="202">
        <f>+W6*('Jerarq. Riesgos Plazo'!$M$65/100+1)</f>
        <v>0</v>
      </c>
      <c r="Y6" s="203">
        <v>2000000</v>
      </c>
      <c r="Z6" s="203">
        <f>+U6</f>
        <v>0</v>
      </c>
      <c r="AA6" s="49">
        <f>+Z6*('Jerarq. Riesgos Plazo'!$M$3/100+1)</f>
        <v>0</v>
      </c>
      <c r="AB6" s="29">
        <v>8</v>
      </c>
      <c r="AC6" s="203">
        <f>+Y6</f>
        <v>2000000</v>
      </c>
      <c r="AD6" s="202">
        <f>+AC6*('Jerarq. Riesgos Plazo'!$M$65/100+1)</f>
        <v>2002390.7379964413</v>
      </c>
      <c r="AE6" s="203">
        <v>2000000</v>
      </c>
      <c r="AF6" s="203">
        <f>+AA6</f>
        <v>0</v>
      </c>
      <c r="AG6" s="49">
        <f>+AF6*('Jerarq. Riesgos Plazo'!$M$3/100+1)</f>
        <v>0</v>
      </c>
    </row>
    <row r="7" spans="2:33" ht="18" x14ac:dyDescent="0.25">
      <c r="B7" s="110" t="s">
        <v>406</v>
      </c>
      <c r="C7" s="111" t="s">
        <v>617</v>
      </c>
      <c r="D7" s="112" t="s">
        <v>615</v>
      </c>
      <c r="E7" s="113" t="s">
        <v>411</v>
      </c>
      <c r="F7" s="112">
        <v>1</v>
      </c>
      <c r="G7" s="114">
        <v>15</v>
      </c>
      <c r="H7" s="114">
        <f>2*'Costo HH'!$D$8*G7</f>
        <v>1608000</v>
      </c>
      <c r="I7" s="129">
        <f t="shared" ref="I7:I9" si="0">+F7*H7</f>
        <v>1608000</v>
      </c>
      <c r="J7" s="343">
        <f>+K7-'Jerarq. Riesgos Plazo'!$K$74*'Aplicación proyecto JE'!K7</f>
        <v>12.75</v>
      </c>
      <c r="K7" s="203">
        <f t="shared" ref="K7:K17" si="1">+G7</f>
        <v>15</v>
      </c>
      <c r="L7" s="202">
        <f>+K7*('Jerarq. Riesgos Plazo'!$L$74+1)</f>
        <v>16.16824754490764</v>
      </c>
      <c r="M7" s="64">
        <f>+N7*(-'Jerarq. Riesgos Costos'!$J$78+1)</f>
        <v>1447200</v>
      </c>
      <c r="N7" s="203">
        <f t="shared" ref="N7:N22" si="2">+I7</f>
        <v>1608000</v>
      </c>
      <c r="O7" s="49">
        <f>+N7*('Jerarq. Riesgos Costos'!$K$78+1)</f>
        <v>2007974.9554212759</v>
      </c>
      <c r="P7" s="29"/>
      <c r="Q7" s="203"/>
      <c r="R7" s="264"/>
      <c r="S7" s="38"/>
      <c r="T7" s="203"/>
      <c r="U7" s="34"/>
      <c r="V7" s="59">
        <v>10</v>
      </c>
      <c r="W7" s="203">
        <f t="shared" ref="W7:W9" si="3">+S7</f>
        <v>0</v>
      </c>
      <c r="X7" s="202">
        <f>+W7*('Jerarq. Riesgos Plazo'!$M$65/100+1)</f>
        <v>0</v>
      </c>
      <c r="Y7" s="64">
        <v>80000000</v>
      </c>
      <c r="Z7" s="34">
        <f>+U7</f>
        <v>0</v>
      </c>
      <c r="AA7" s="49">
        <v>100000000</v>
      </c>
      <c r="AB7" s="29">
        <v>10</v>
      </c>
      <c r="AC7" s="203">
        <f t="shared" ref="AC7:AC9" si="4">+Y7</f>
        <v>80000000</v>
      </c>
      <c r="AD7" s="202">
        <f>+AC7*('Jerarq. Riesgos Plazo'!$M$65/100+1)</f>
        <v>80095629.51985766</v>
      </c>
      <c r="AE7" s="64">
        <v>80000000</v>
      </c>
      <c r="AF7" s="34">
        <f>+AA7</f>
        <v>100000000</v>
      </c>
      <c r="AG7" s="49">
        <v>100000000</v>
      </c>
    </row>
    <row r="8" spans="2:33" ht="18" x14ac:dyDescent="0.25">
      <c r="B8" s="110" t="s">
        <v>406</v>
      </c>
      <c r="C8" s="111" t="s">
        <v>618</v>
      </c>
      <c r="D8" s="112" t="s">
        <v>627</v>
      </c>
      <c r="E8" s="113" t="s">
        <v>411</v>
      </c>
      <c r="F8" s="112">
        <v>1</v>
      </c>
      <c r="G8" s="114">
        <v>20</v>
      </c>
      <c r="H8" s="114">
        <f>2*'Costo HH'!$D$8*G8</f>
        <v>2144000</v>
      </c>
      <c r="I8" s="129">
        <f t="shared" si="0"/>
        <v>2144000</v>
      </c>
      <c r="J8" s="343">
        <f>+K8-'Jerarq. Riesgos Plazo'!$K$74*'Aplicación proyecto JE'!K8</f>
        <v>17</v>
      </c>
      <c r="K8" s="203">
        <f t="shared" si="1"/>
        <v>20</v>
      </c>
      <c r="L8" s="202">
        <f>+K8*('Jerarq. Riesgos Plazo'!$L$74+1)</f>
        <v>21.557663393210188</v>
      </c>
      <c r="M8" s="64">
        <f>+N8*(-'Jerarq. Riesgos Costos'!$J$78+1)</f>
        <v>1929600</v>
      </c>
      <c r="N8" s="203">
        <f t="shared" si="2"/>
        <v>2144000</v>
      </c>
      <c r="O8" s="49">
        <f>+N8*('Jerarq. Riesgos Costos'!$K$78+1)</f>
        <v>2677299.9405617011</v>
      </c>
      <c r="P8" s="245"/>
      <c r="Q8" s="203"/>
      <c r="R8" s="264"/>
      <c r="S8" s="38"/>
      <c r="T8" s="203"/>
      <c r="U8" s="34"/>
      <c r="V8" s="288">
        <v>15</v>
      </c>
      <c r="W8" s="203">
        <f t="shared" si="3"/>
        <v>0</v>
      </c>
      <c r="X8" s="202">
        <f>+W8*('Jerarq. Riesgos Plazo'!$M$65/100+1)</f>
        <v>0</v>
      </c>
      <c r="Y8" s="63"/>
      <c r="Z8" s="43"/>
      <c r="AA8" s="246"/>
      <c r="AB8" s="245">
        <v>15</v>
      </c>
      <c r="AC8" s="203">
        <f t="shared" si="4"/>
        <v>0</v>
      </c>
      <c r="AD8" s="202">
        <f>+AC8*('Jerarq. Riesgos Plazo'!$M$65/100+1)</f>
        <v>0</v>
      </c>
      <c r="AE8" s="63"/>
      <c r="AF8" s="43"/>
      <c r="AG8" s="246"/>
    </row>
    <row r="9" spans="2:33" ht="18" x14ac:dyDescent="0.25">
      <c r="B9" s="110" t="s">
        <v>406</v>
      </c>
      <c r="C9" s="111" t="s">
        <v>619</v>
      </c>
      <c r="D9" s="112" t="s">
        <v>616</v>
      </c>
      <c r="E9" s="113" t="s">
        <v>411</v>
      </c>
      <c r="F9" s="112">
        <v>1</v>
      </c>
      <c r="G9" s="114">
        <v>15</v>
      </c>
      <c r="H9" s="114">
        <f>2*'Costo HH'!$D$8*G9</f>
        <v>1608000</v>
      </c>
      <c r="I9" s="129">
        <f t="shared" si="0"/>
        <v>1608000</v>
      </c>
      <c r="J9" s="343">
        <f>+K9-'Jerarq. Riesgos Plazo'!$K$74*'Aplicación proyecto JE'!K9</f>
        <v>12.75</v>
      </c>
      <c r="K9" s="203">
        <f t="shared" si="1"/>
        <v>15</v>
      </c>
      <c r="L9" s="202">
        <f>+K9*('Jerarq. Riesgos Plazo'!$L$74+1)</f>
        <v>16.16824754490764</v>
      </c>
      <c r="M9" s="64">
        <f>+N9*(-'Jerarq. Riesgos Costos'!$J$78+1)</f>
        <v>1447200</v>
      </c>
      <c r="N9" s="203">
        <f t="shared" si="2"/>
        <v>1608000</v>
      </c>
      <c r="O9" s="49">
        <f>+N9*('Jerarq. Riesgos Costos'!$K$78+1)</f>
        <v>2007974.9554212759</v>
      </c>
      <c r="P9" s="245"/>
      <c r="Q9" s="203"/>
      <c r="R9" s="264"/>
      <c r="S9" s="38"/>
      <c r="T9" s="203"/>
      <c r="U9" s="34"/>
      <c r="V9" s="288">
        <v>10</v>
      </c>
      <c r="W9" s="203">
        <f t="shared" si="3"/>
        <v>0</v>
      </c>
      <c r="X9" s="202">
        <f>+W9*('Jerarq. Riesgos Plazo'!$M$65/100+1)</f>
        <v>0</v>
      </c>
      <c r="Y9" s="63"/>
      <c r="Z9" s="43"/>
      <c r="AA9" s="246"/>
      <c r="AB9" s="245">
        <v>10</v>
      </c>
      <c r="AC9" s="203">
        <f t="shared" si="4"/>
        <v>0</v>
      </c>
      <c r="AD9" s="202">
        <f>+AC9*('Jerarq. Riesgos Plazo'!$M$65/100+1)</f>
        <v>0</v>
      </c>
      <c r="AE9" s="63"/>
      <c r="AF9" s="43"/>
      <c r="AG9" s="246"/>
    </row>
    <row r="10" spans="2:33" ht="18" x14ac:dyDescent="0.25">
      <c r="B10" s="105" t="s">
        <v>404</v>
      </c>
      <c r="C10" s="105">
        <v>2</v>
      </c>
      <c r="D10" s="106" t="s">
        <v>612</v>
      </c>
      <c r="E10" s="107"/>
      <c r="F10" s="108"/>
      <c r="G10" s="109"/>
      <c r="H10" s="109"/>
      <c r="I10" s="128"/>
      <c r="J10" s="134">
        <f>+SUM(J11:J17)</f>
        <v>57.6</v>
      </c>
      <c r="K10" s="134">
        <f>+SUM(K11:K17)</f>
        <v>64</v>
      </c>
      <c r="L10" s="134">
        <f>+SUM(L11:L17)</f>
        <v>79.270796868159081</v>
      </c>
      <c r="M10" s="133"/>
      <c r="N10" s="134"/>
      <c r="O10" s="135"/>
      <c r="P10" s="133"/>
      <c r="Q10" s="134"/>
      <c r="R10" s="135"/>
      <c r="S10" s="293"/>
      <c r="T10" s="134"/>
      <c r="U10" s="135"/>
      <c r="V10" s="133"/>
      <c r="W10" s="134"/>
      <c r="X10" s="201"/>
      <c r="Y10" s="133"/>
      <c r="Z10" s="134"/>
      <c r="AA10" s="135"/>
      <c r="AB10" s="133"/>
      <c r="AC10" s="134"/>
      <c r="AD10" s="201"/>
      <c r="AE10" s="133"/>
      <c r="AF10" s="134"/>
      <c r="AG10" s="135"/>
    </row>
    <row r="11" spans="2:33" ht="18" x14ac:dyDescent="0.25">
      <c r="B11" s="110" t="s">
        <v>406</v>
      </c>
      <c r="C11" s="111" t="s">
        <v>414</v>
      </c>
      <c r="D11" s="112" t="s">
        <v>621</v>
      </c>
      <c r="E11" s="113" t="s">
        <v>628</v>
      </c>
      <c r="F11" s="250">
        <f>5*9*G11</f>
        <v>225</v>
      </c>
      <c r="G11" s="114">
        <v>5</v>
      </c>
      <c r="H11" s="114">
        <f>+'Costo HH'!$D$9</f>
        <v>53600</v>
      </c>
      <c r="I11" s="129">
        <f>+F11*H11</f>
        <v>12060000</v>
      </c>
      <c r="J11" s="343">
        <f>+K11-'Jerarq. Riesgos Plazo'!$K$75*'Aplicación proyecto JE'!K11</f>
        <v>4.5</v>
      </c>
      <c r="K11" s="203">
        <f t="shared" si="1"/>
        <v>5</v>
      </c>
      <c r="L11" s="202">
        <f>+K11*('Jerarq. Riesgos Plazo'!$L$75+1)</f>
        <v>6.1930310053249285</v>
      </c>
      <c r="M11" s="64">
        <f>+N11*(-'Jerarq. Riesgos Costos'!$J$78+1)</f>
        <v>10854000</v>
      </c>
      <c r="N11" s="203">
        <f t="shared" si="2"/>
        <v>12060000</v>
      </c>
      <c r="O11" s="49">
        <f>+N11*('Jerarq. Riesgos Costos'!$K$78+1)</f>
        <v>15059812.165659569</v>
      </c>
      <c r="P11" s="29"/>
      <c r="Q11" s="203"/>
      <c r="R11" s="264"/>
      <c r="S11" s="38"/>
      <c r="T11" s="203"/>
      <c r="U11" s="34"/>
      <c r="V11" s="59">
        <v>4</v>
      </c>
      <c r="W11" s="203">
        <f t="shared" ref="W11:W17" si="5">+S11</f>
        <v>0</v>
      </c>
      <c r="X11" s="202">
        <f>+W11*('Jerarq. Riesgos Plazo'!$M$65/100+1)</f>
        <v>0</v>
      </c>
      <c r="Y11" s="29"/>
      <c r="Z11" s="4"/>
      <c r="AA11" s="30"/>
      <c r="AB11" s="29">
        <v>4</v>
      </c>
      <c r="AC11" s="203">
        <f t="shared" ref="AC11:AC17" si="6">+Y11</f>
        <v>0</v>
      </c>
      <c r="AD11" s="202">
        <f>+AC11*('Jerarq. Riesgos Plazo'!$M$65/100+1)</f>
        <v>0</v>
      </c>
      <c r="AE11" s="29"/>
      <c r="AF11" s="4"/>
      <c r="AG11" s="30"/>
    </row>
    <row r="12" spans="2:33" ht="18" x14ac:dyDescent="0.25">
      <c r="B12" s="110" t="s">
        <v>406</v>
      </c>
      <c r="C12" s="111" t="s">
        <v>417</v>
      </c>
      <c r="D12" s="112" t="s">
        <v>620</v>
      </c>
      <c r="E12" s="113" t="s">
        <v>628</v>
      </c>
      <c r="F12" s="250">
        <f t="shared" ref="F12:F17" si="7">5*9*G12</f>
        <v>180</v>
      </c>
      <c r="G12" s="114">
        <v>4</v>
      </c>
      <c r="H12" s="114">
        <f>+'Costo HH'!$D$9</f>
        <v>53600</v>
      </c>
      <c r="I12" s="129">
        <f>+F12*H12</f>
        <v>9648000</v>
      </c>
      <c r="J12" s="343">
        <f>+K12-'Jerarq. Riesgos Plazo'!$K$75*'Aplicación proyecto JE'!K12</f>
        <v>3.6</v>
      </c>
      <c r="K12" s="203">
        <f t="shared" si="1"/>
        <v>4</v>
      </c>
      <c r="L12" s="202">
        <f>+K12*('Jerarq. Riesgos Plazo'!$L$75+1)</f>
        <v>4.9544248042599426</v>
      </c>
      <c r="M12" s="64">
        <f>+N12*(-'Jerarq. Riesgos Costos'!$J$78+1)</f>
        <v>8683200</v>
      </c>
      <c r="N12" s="203">
        <f t="shared" si="2"/>
        <v>9648000</v>
      </c>
      <c r="O12" s="49">
        <f>+N12*('Jerarq. Riesgos Costos'!$K$78+1)</f>
        <v>12047849.732527655</v>
      </c>
      <c r="P12" s="29"/>
      <c r="Q12" s="203"/>
      <c r="R12" s="264"/>
      <c r="S12" s="38"/>
      <c r="T12" s="203"/>
      <c r="U12" s="34"/>
      <c r="V12" s="59">
        <v>3</v>
      </c>
      <c r="W12" s="203">
        <f t="shared" si="5"/>
        <v>0</v>
      </c>
      <c r="X12" s="202">
        <f>+W12*('Jerarq. Riesgos Plazo'!$M$65/100+1)</f>
        <v>0</v>
      </c>
      <c r="Y12" s="64"/>
      <c r="Z12" s="34"/>
      <c r="AA12" s="49"/>
      <c r="AB12" s="29">
        <v>3</v>
      </c>
      <c r="AC12" s="203">
        <f t="shared" si="6"/>
        <v>0</v>
      </c>
      <c r="AD12" s="202">
        <f>+AC12*('Jerarq. Riesgos Plazo'!$M$65/100+1)</f>
        <v>0</v>
      </c>
      <c r="AE12" s="64"/>
      <c r="AF12" s="34"/>
      <c r="AG12" s="49"/>
    </row>
    <row r="13" spans="2:33" ht="18" x14ac:dyDescent="0.25">
      <c r="B13" s="110" t="s">
        <v>406</v>
      </c>
      <c r="C13" s="111" t="s">
        <v>419</v>
      </c>
      <c r="D13" s="112" t="s">
        <v>626</v>
      </c>
      <c r="E13" s="113" t="s">
        <v>628</v>
      </c>
      <c r="F13" s="250">
        <f t="shared" si="7"/>
        <v>315</v>
      </c>
      <c r="G13" s="114">
        <v>7</v>
      </c>
      <c r="H13" s="114">
        <f>+'Costo HH'!$D$9</f>
        <v>53600</v>
      </c>
      <c r="I13" s="129">
        <f t="shared" ref="I13:I17" si="8">+F13*H13</f>
        <v>16884000</v>
      </c>
      <c r="J13" s="343">
        <f>+K13-'Jerarq. Riesgos Plazo'!$K$75*'Aplicación proyecto JE'!K13</f>
        <v>6.3</v>
      </c>
      <c r="K13" s="203">
        <f t="shared" si="1"/>
        <v>7</v>
      </c>
      <c r="L13" s="202">
        <f>+K13*('Jerarq. Riesgos Plazo'!$L$75+1)</f>
        <v>8.6702434074548993</v>
      </c>
      <c r="M13" s="64">
        <f>+N13*(-'Jerarq. Riesgos Costos'!$J$78+1)</f>
        <v>15195600</v>
      </c>
      <c r="N13" s="203">
        <f t="shared" si="2"/>
        <v>16884000</v>
      </c>
      <c r="O13" s="49">
        <f>+N13*('Jerarq. Riesgos Costos'!$K$78+1)</f>
        <v>21083737.031923395</v>
      </c>
      <c r="P13" s="245"/>
      <c r="Q13" s="203"/>
      <c r="R13" s="264"/>
      <c r="S13" s="38"/>
      <c r="T13" s="203"/>
      <c r="U13" s="34"/>
      <c r="V13" s="288">
        <v>5</v>
      </c>
      <c r="W13" s="203">
        <f t="shared" si="5"/>
        <v>0</v>
      </c>
      <c r="X13" s="202">
        <f>+W13*('Jerarq. Riesgos Plazo'!$M$65/100+1)</f>
        <v>0</v>
      </c>
      <c r="Y13" s="63"/>
      <c r="Z13" s="43"/>
      <c r="AA13" s="246"/>
      <c r="AB13" s="245">
        <v>5</v>
      </c>
      <c r="AC13" s="203">
        <f t="shared" si="6"/>
        <v>0</v>
      </c>
      <c r="AD13" s="202">
        <f>+AC13*('Jerarq. Riesgos Plazo'!$M$65/100+1)</f>
        <v>0</v>
      </c>
      <c r="AE13" s="63"/>
      <c r="AF13" s="43"/>
      <c r="AG13" s="246"/>
    </row>
    <row r="14" spans="2:33" ht="18" x14ac:dyDescent="0.25">
      <c r="B14" s="110" t="s">
        <v>406</v>
      </c>
      <c r="C14" s="111" t="s">
        <v>421</v>
      </c>
      <c r="D14" s="112" t="s">
        <v>622</v>
      </c>
      <c r="E14" s="113" t="s">
        <v>628</v>
      </c>
      <c r="F14" s="250">
        <f t="shared" si="7"/>
        <v>450</v>
      </c>
      <c r="G14" s="114">
        <v>10</v>
      </c>
      <c r="H14" s="114">
        <f>+'Costo HH'!$D$9</f>
        <v>53600</v>
      </c>
      <c r="I14" s="129">
        <f t="shared" si="8"/>
        <v>24120000</v>
      </c>
      <c r="J14" s="343">
        <f>+K14-'Jerarq. Riesgos Plazo'!$K$75*'Aplicación proyecto JE'!K14</f>
        <v>9</v>
      </c>
      <c r="K14" s="203">
        <f t="shared" si="1"/>
        <v>10</v>
      </c>
      <c r="L14" s="202">
        <f>+K14*('Jerarq. Riesgos Plazo'!$L$75+1)</f>
        <v>12.386062010649857</v>
      </c>
      <c r="M14" s="64">
        <f>+N14*(-'Jerarq. Riesgos Costos'!$J$78+1)</f>
        <v>21708000</v>
      </c>
      <c r="N14" s="203">
        <f t="shared" si="2"/>
        <v>24120000</v>
      </c>
      <c r="O14" s="49">
        <f>+N14*('Jerarq. Riesgos Costos'!$K$78+1)</f>
        <v>30119624.331319138</v>
      </c>
      <c r="P14" s="245"/>
      <c r="Q14" s="203"/>
      <c r="R14" s="264"/>
      <c r="S14" s="38"/>
      <c r="T14" s="203"/>
      <c r="U14" s="34"/>
      <c r="V14" s="288">
        <v>8</v>
      </c>
      <c r="W14" s="203">
        <f t="shared" si="5"/>
        <v>0</v>
      </c>
      <c r="X14" s="202">
        <f>+W14*('Jerarq. Riesgos Plazo'!$M$65/100+1)</f>
        <v>0</v>
      </c>
      <c r="Y14" s="63"/>
      <c r="Z14" s="43"/>
      <c r="AA14" s="246"/>
      <c r="AB14" s="245">
        <v>8</v>
      </c>
      <c r="AC14" s="203">
        <f t="shared" si="6"/>
        <v>0</v>
      </c>
      <c r="AD14" s="202">
        <f>+AC14*('Jerarq. Riesgos Plazo'!$M$65/100+1)</f>
        <v>0</v>
      </c>
      <c r="AE14" s="63"/>
      <c r="AF14" s="43"/>
      <c r="AG14" s="246"/>
    </row>
    <row r="15" spans="2:33" ht="18" x14ac:dyDescent="0.25">
      <c r="B15" s="110" t="s">
        <v>406</v>
      </c>
      <c r="C15" s="111" t="s">
        <v>423</v>
      </c>
      <c r="D15" s="112" t="s">
        <v>623</v>
      </c>
      <c r="E15" s="113" t="s">
        <v>628</v>
      </c>
      <c r="F15" s="250">
        <f t="shared" si="7"/>
        <v>675</v>
      </c>
      <c r="G15" s="114">
        <v>15</v>
      </c>
      <c r="H15" s="114">
        <f>+'Costo HH'!$D$9</f>
        <v>53600</v>
      </c>
      <c r="I15" s="129">
        <f t="shared" si="8"/>
        <v>36180000</v>
      </c>
      <c r="J15" s="343">
        <f>+K15-'Jerarq. Riesgos Plazo'!$K$75*'Aplicación proyecto JE'!K15</f>
        <v>13.5</v>
      </c>
      <c r="K15" s="203">
        <f t="shared" si="1"/>
        <v>15</v>
      </c>
      <c r="L15" s="202">
        <f>+K15*('Jerarq. Riesgos Plazo'!$L$75+1)</f>
        <v>18.579093015974784</v>
      </c>
      <c r="M15" s="64">
        <f>+N15*(-'Jerarq. Riesgos Costos'!$J$78+1)</f>
        <v>32562000</v>
      </c>
      <c r="N15" s="203">
        <f t="shared" si="2"/>
        <v>36180000</v>
      </c>
      <c r="O15" s="49">
        <f>+N15*('Jerarq. Riesgos Costos'!$K$78+1)</f>
        <v>45179436.496978708</v>
      </c>
      <c r="P15" s="245"/>
      <c r="Q15" s="203"/>
      <c r="R15" s="264"/>
      <c r="S15" s="38"/>
      <c r="T15" s="203"/>
      <c r="U15" s="34"/>
      <c r="V15" s="288">
        <v>12</v>
      </c>
      <c r="W15" s="203">
        <f t="shared" si="5"/>
        <v>0</v>
      </c>
      <c r="X15" s="202">
        <f>+W15*('Jerarq. Riesgos Plazo'!$M$65/100+1)</f>
        <v>0</v>
      </c>
      <c r="Y15" s="63"/>
      <c r="Z15" s="43"/>
      <c r="AA15" s="246"/>
      <c r="AB15" s="245">
        <v>12</v>
      </c>
      <c r="AC15" s="203">
        <f t="shared" si="6"/>
        <v>0</v>
      </c>
      <c r="AD15" s="202">
        <f>+AC15*('Jerarq. Riesgos Plazo'!$M$65/100+1)</f>
        <v>0</v>
      </c>
      <c r="AE15" s="63"/>
      <c r="AF15" s="43"/>
      <c r="AG15" s="246"/>
    </row>
    <row r="16" spans="2:33" ht="18" x14ac:dyDescent="0.25">
      <c r="B16" s="110" t="s">
        <v>406</v>
      </c>
      <c r="C16" s="111" t="s">
        <v>425</v>
      </c>
      <c r="D16" s="112" t="s">
        <v>624</v>
      </c>
      <c r="E16" s="113" t="s">
        <v>628</v>
      </c>
      <c r="F16" s="250">
        <f t="shared" si="7"/>
        <v>360</v>
      </c>
      <c r="G16" s="114">
        <v>8</v>
      </c>
      <c r="H16" s="114">
        <f>+'Costo HH'!$D$9</f>
        <v>53600</v>
      </c>
      <c r="I16" s="129">
        <f t="shared" si="8"/>
        <v>19296000</v>
      </c>
      <c r="J16" s="343">
        <f>+K16-'Jerarq. Riesgos Plazo'!$K$75*'Aplicación proyecto JE'!K16</f>
        <v>7.2</v>
      </c>
      <c r="K16" s="203">
        <f t="shared" si="1"/>
        <v>8</v>
      </c>
      <c r="L16" s="202">
        <f>+K16*('Jerarq. Riesgos Plazo'!$L$75+1)</f>
        <v>9.9088496085198852</v>
      </c>
      <c r="M16" s="64">
        <f>+N16*(-'Jerarq. Riesgos Costos'!$J$78+1)</f>
        <v>17366400</v>
      </c>
      <c r="N16" s="203">
        <f t="shared" si="2"/>
        <v>19296000</v>
      </c>
      <c r="O16" s="49">
        <f>+N16*('Jerarq. Riesgos Costos'!$K$78+1)</f>
        <v>24095699.465055309</v>
      </c>
      <c r="P16" s="245"/>
      <c r="Q16" s="203"/>
      <c r="R16" s="264"/>
      <c r="S16" s="38"/>
      <c r="T16" s="203"/>
      <c r="U16" s="34"/>
      <c r="V16" s="288">
        <v>6</v>
      </c>
      <c r="W16" s="203">
        <f t="shared" si="5"/>
        <v>0</v>
      </c>
      <c r="X16" s="202">
        <f>+W16*('Jerarq. Riesgos Plazo'!$M$65/100+1)</f>
        <v>0</v>
      </c>
      <c r="Y16" s="63"/>
      <c r="Z16" s="43"/>
      <c r="AA16" s="246"/>
      <c r="AB16" s="245">
        <v>6</v>
      </c>
      <c r="AC16" s="203">
        <f t="shared" si="6"/>
        <v>0</v>
      </c>
      <c r="AD16" s="202">
        <f>+AC16*('Jerarq. Riesgos Plazo'!$M$65/100+1)</f>
        <v>0</v>
      </c>
      <c r="AE16" s="63"/>
      <c r="AF16" s="43"/>
      <c r="AG16" s="246"/>
    </row>
    <row r="17" spans="2:33" ht="17.25" customHeight="1" x14ac:dyDescent="0.25">
      <c r="B17" s="110" t="s">
        <v>406</v>
      </c>
      <c r="C17" s="111" t="s">
        <v>427</v>
      </c>
      <c r="D17" s="112" t="s">
        <v>625</v>
      </c>
      <c r="E17" s="113" t="s">
        <v>628</v>
      </c>
      <c r="F17" s="250">
        <f t="shared" si="7"/>
        <v>675</v>
      </c>
      <c r="G17" s="114">
        <v>15</v>
      </c>
      <c r="H17" s="114">
        <f>+'Costo HH'!$D$9</f>
        <v>53600</v>
      </c>
      <c r="I17" s="129">
        <f t="shared" si="8"/>
        <v>36180000</v>
      </c>
      <c r="J17" s="343">
        <f>+K17-'Jerarq. Riesgos Plazo'!$K$75*'Aplicación proyecto JE'!K17</f>
        <v>13.5</v>
      </c>
      <c r="K17" s="203">
        <f t="shared" si="1"/>
        <v>15</v>
      </c>
      <c r="L17" s="202">
        <f>+K17*('Jerarq. Riesgos Plazo'!$L$75+1)</f>
        <v>18.579093015974784</v>
      </c>
      <c r="M17" s="64">
        <f>+N17*(-'Jerarq. Riesgos Costos'!$J$78+1)</f>
        <v>32562000</v>
      </c>
      <c r="N17" s="203">
        <f t="shared" si="2"/>
        <v>36180000</v>
      </c>
      <c r="O17" s="49">
        <f>+N17*('Jerarq. Riesgos Costos'!$K$78+1)</f>
        <v>45179436.496978708</v>
      </c>
      <c r="P17" s="245"/>
      <c r="Q17" s="203"/>
      <c r="R17" s="264"/>
      <c r="S17" s="38"/>
      <c r="T17" s="203"/>
      <c r="U17" s="34"/>
      <c r="V17" s="288">
        <v>10</v>
      </c>
      <c r="W17" s="203">
        <f t="shared" si="5"/>
        <v>0</v>
      </c>
      <c r="X17" s="202">
        <f>+W17*('Jerarq. Riesgos Plazo'!$M$65/100+1)</f>
        <v>0</v>
      </c>
      <c r="Y17" s="63"/>
      <c r="Z17" s="43"/>
      <c r="AA17" s="246"/>
      <c r="AB17" s="245">
        <v>10</v>
      </c>
      <c r="AC17" s="203">
        <f t="shared" si="6"/>
        <v>0</v>
      </c>
      <c r="AD17" s="202">
        <f>+AC17*('Jerarq. Riesgos Plazo'!$M$65/100+1)</f>
        <v>0</v>
      </c>
      <c r="AE17" s="63"/>
      <c r="AF17" s="43"/>
      <c r="AG17" s="246"/>
    </row>
    <row r="18" spans="2:33" ht="18" x14ac:dyDescent="0.25">
      <c r="B18" s="105" t="s">
        <v>404</v>
      </c>
      <c r="C18" s="105">
        <v>3</v>
      </c>
      <c r="D18" s="106" t="s">
        <v>613</v>
      </c>
      <c r="E18" s="107"/>
      <c r="F18" s="108"/>
      <c r="G18" s="109"/>
      <c r="H18" s="109"/>
      <c r="I18" s="128"/>
      <c r="J18" s="134">
        <f>+SUM(J19:J22)</f>
        <v>61.2</v>
      </c>
      <c r="K18" s="134">
        <f>+SUM(K19:K22)</f>
        <v>72</v>
      </c>
      <c r="L18" s="134">
        <f>+SUM(L19:L22)</f>
        <v>79.231901968439601</v>
      </c>
      <c r="M18" s="133"/>
      <c r="N18" s="134"/>
      <c r="O18" s="135"/>
      <c r="P18" s="133"/>
      <c r="Q18" s="134"/>
      <c r="R18" s="135"/>
      <c r="S18" s="293"/>
      <c r="T18" s="134"/>
      <c r="U18" s="135"/>
      <c r="V18" s="133"/>
      <c r="W18" s="134"/>
      <c r="X18" s="201"/>
      <c r="Y18" s="133"/>
      <c r="Z18" s="134"/>
      <c r="AA18" s="135"/>
      <c r="AB18" s="133"/>
      <c r="AC18" s="134"/>
      <c r="AD18" s="201"/>
      <c r="AE18" s="133"/>
      <c r="AF18" s="134"/>
      <c r="AG18" s="135"/>
    </row>
    <row r="19" spans="2:33" ht="18" x14ac:dyDescent="0.25">
      <c r="B19" s="110" t="s">
        <v>406</v>
      </c>
      <c r="C19" s="111" t="s">
        <v>436</v>
      </c>
      <c r="D19" s="112" t="s">
        <v>574</v>
      </c>
      <c r="E19" s="113" t="s">
        <v>411</v>
      </c>
      <c r="F19" s="112">
        <v>1</v>
      </c>
      <c r="G19" s="114">
        <v>15</v>
      </c>
      <c r="H19" s="114">
        <f>2*'Costo HH'!$D$8*G19</f>
        <v>1608000</v>
      </c>
      <c r="I19" s="129">
        <f>+F19*H19</f>
        <v>1608000</v>
      </c>
      <c r="J19" s="343">
        <f>+K19-'Jerarq. Riesgos Plazo'!$K$76*'Aplicación proyecto JE'!K19</f>
        <v>12.75</v>
      </c>
      <c r="K19" s="203">
        <f>+G19</f>
        <v>15</v>
      </c>
      <c r="L19" s="202">
        <f>+K19*('Jerarq. Riesgos Plazo'!$L$76+1)</f>
        <v>16.506646243424917</v>
      </c>
      <c r="M19" s="64">
        <f>+N19*(-'Jerarq. Riesgos Costos'!$J$78+1)</f>
        <v>1447200</v>
      </c>
      <c r="N19" s="203">
        <f t="shared" si="2"/>
        <v>1608000</v>
      </c>
      <c r="O19" s="49">
        <f>+N19*('Jerarq. Riesgos Costos'!$K$78+1)</f>
        <v>2007974.9554212759</v>
      </c>
      <c r="P19" s="29"/>
      <c r="Q19" s="203"/>
      <c r="R19" s="264"/>
      <c r="S19" s="38"/>
      <c r="T19" s="203"/>
      <c r="U19" s="34"/>
      <c r="V19" s="59">
        <v>13</v>
      </c>
      <c r="W19" s="203">
        <f>+S19</f>
        <v>0</v>
      </c>
      <c r="X19" s="202">
        <f>+W19*('Jerarq. Riesgos Plazo'!$M$65/100+1)</f>
        <v>0</v>
      </c>
      <c r="Y19" s="203">
        <v>2000000</v>
      </c>
      <c r="Z19" s="203">
        <f>+U19</f>
        <v>0</v>
      </c>
      <c r="AA19" s="49">
        <f>+Z19*('Jerarq. Riesgos Plazo'!$M$3/100+1)</f>
        <v>0</v>
      </c>
      <c r="AB19" s="29">
        <v>13</v>
      </c>
      <c r="AC19" s="203">
        <f>+Y19</f>
        <v>2000000</v>
      </c>
      <c r="AD19" s="202">
        <f>+AC19*('Jerarq. Riesgos Plazo'!$M$65/100+1)</f>
        <v>2002390.7379964413</v>
      </c>
      <c r="AE19" s="203">
        <v>2000000</v>
      </c>
      <c r="AF19" s="203">
        <f>+AA19</f>
        <v>0</v>
      </c>
      <c r="AG19" s="49">
        <f>+AF19*('Jerarq. Riesgos Plazo'!$M$3/100+1)</f>
        <v>0</v>
      </c>
    </row>
    <row r="20" spans="2:33" ht="18" x14ac:dyDescent="0.25">
      <c r="B20" s="110" t="s">
        <v>406</v>
      </c>
      <c r="C20" s="111" t="s">
        <v>437</v>
      </c>
      <c r="D20" s="112" t="s">
        <v>615</v>
      </c>
      <c r="E20" s="113" t="s">
        <v>411</v>
      </c>
      <c r="F20" s="112">
        <v>1</v>
      </c>
      <c r="G20" s="114">
        <v>25</v>
      </c>
      <c r="H20" s="114">
        <f>2*'Costo HH'!$D$8*G20</f>
        <v>2680000</v>
      </c>
      <c r="I20" s="129">
        <f t="shared" ref="I20:I22" si="9">+F20*H20</f>
        <v>2680000</v>
      </c>
      <c r="J20" s="343">
        <f>+K20-'Jerarq. Riesgos Plazo'!$K$76*'Aplicación proyecto JE'!K20</f>
        <v>21.25</v>
      </c>
      <c r="K20" s="203">
        <f t="shared" ref="K20:K22" si="10">+G20</f>
        <v>25</v>
      </c>
      <c r="L20" s="202">
        <f>+K20*('Jerarq. Riesgos Plazo'!$L$76+1)</f>
        <v>27.511077072374864</v>
      </c>
      <c r="M20" s="64">
        <f>+N20*(-'Jerarq. Riesgos Costos'!$J$78+1)</f>
        <v>2412000</v>
      </c>
      <c r="N20" s="203">
        <f t="shared" si="2"/>
        <v>2680000</v>
      </c>
      <c r="O20" s="49">
        <f>+N20*('Jerarq. Riesgos Costos'!$K$78+1)</f>
        <v>3346624.9257021262</v>
      </c>
      <c r="P20" s="29"/>
      <c r="Q20" s="203"/>
      <c r="R20" s="264"/>
      <c r="S20" s="38"/>
      <c r="T20" s="203"/>
      <c r="U20" s="34"/>
      <c r="V20" s="59">
        <v>22</v>
      </c>
      <c r="W20" s="203">
        <f t="shared" ref="W20:W22" si="11">+S20</f>
        <v>0</v>
      </c>
      <c r="X20" s="202">
        <f>+W20*('Jerarq. Riesgos Plazo'!$M$65/100+1)</f>
        <v>0</v>
      </c>
      <c r="Y20" s="64">
        <v>80000000</v>
      </c>
      <c r="Z20" s="34">
        <f>+U20</f>
        <v>0</v>
      </c>
      <c r="AA20" s="49">
        <v>100000000</v>
      </c>
      <c r="AB20" s="29">
        <v>22</v>
      </c>
      <c r="AC20" s="203">
        <f t="shared" ref="AC20:AC22" si="12">+Y20</f>
        <v>80000000</v>
      </c>
      <c r="AD20" s="202">
        <f>+AC20*('Jerarq. Riesgos Plazo'!$M$65/100+1)</f>
        <v>80095629.51985766</v>
      </c>
      <c r="AE20" s="64">
        <v>80000000</v>
      </c>
      <c r="AF20" s="34">
        <f>+AA20</f>
        <v>100000000</v>
      </c>
      <c r="AG20" s="49">
        <v>100000000</v>
      </c>
    </row>
    <row r="21" spans="2:33" ht="18" x14ac:dyDescent="0.25">
      <c r="B21" s="110" t="s">
        <v>406</v>
      </c>
      <c r="C21" s="111" t="s">
        <v>439</v>
      </c>
      <c r="D21" s="112" t="s">
        <v>627</v>
      </c>
      <c r="E21" s="113" t="s">
        <v>411</v>
      </c>
      <c r="F21" s="112">
        <v>1</v>
      </c>
      <c r="G21" s="114">
        <v>12</v>
      </c>
      <c r="H21" s="114">
        <f>2*'Costo HH'!$D$8*G21</f>
        <v>1286400</v>
      </c>
      <c r="I21" s="129">
        <f t="shared" si="9"/>
        <v>1286400</v>
      </c>
      <c r="J21" s="343">
        <f>+K21-'Jerarq. Riesgos Plazo'!$K$76*'Aplicación proyecto JE'!K21</f>
        <v>10.199999999999999</v>
      </c>
      <c r="K21" s="203">
        <f t="shared" si="10"/>
        <v>12</v>
      </c>
      <c r="L21" s="202">
        <f>+K21*('Jerarq. Riesgos Plazo'!$L$76+1)</f>
        <v>13.205316994739935</v>
      </c>
      <c r="M21" s="64">
        <f>+N21*(-'Jerarq. Riesgos Costos'!$J$78+1)</f>
        <v>1157760</v>
      </c>
      <c r="N21" s="203">
        <f t="shared" si="2"/>
        <v>1286400</v>
      </c>
      <c r="O21" s="49">
        <f>+N21*('Jerarq. Riesgos Costos'!$K$78+1)</f>
        <v>1606379.9643370206</v>
      </c>
      <c r="P21" s="245"/>
      <c r="Q21" s="203"/>
      <c r="R21" s="264"/>
      <c r="S21" s="38"/>
      <c r="T21" s="203"/>
      <c r="U21" s="34"/>
      <c r="V21" s="288">
        <v>10</v>
      </c>
      <c r="W21" s="203">
        <f t="shared" si="11"/>
        <v>0</v>
      </c>
      <c r="X21" s="202">
        <f>+W21*('Jerarq. Riesgos Plazo'!$M$65/100+1)</f>
        <v>0</v>
      </c>
      <c r="Y21" s="63"/>
      <c r="Z21" s="43"/>
      <c r="AA21" s="246"/>
      <c r="AB21" s="245">
        <v>10</v>
      </c>
      <c r="AC21" s="203">
        <f t="shared" si="12"/>
        <v>0</v>
      </c>
      <c r="AD21" s="202">
        <f>+AC21*('Jerarq. Riesgos Plazo'!$M$65/100+1)</f>
        <v>0</v>
      </c>
      <c r="AE21" s="63"/>
      <c r="AF21" s="43"/>
      <c r="AG21" s="246"/>
    </row>
    <row r="22" spans="2:33" ht="18" x14ac:dyDescent="0.25">
      <c r="B22" s="110" t="s">
        <v>406</v>
      </c>
      <c r="C22" s="111" t="s">
        <v>441</v>
      </c>
      <c r="D22" s="112" t="s">
        <v>616</v>
      </c>
      <c r="E22" s="113" t="s">
        <v>411</v>
      </c>
      <c r="F22" s="112">
        <v>1</v>
      </c>
      <c r="G22" s="114">
        <v>20</v>
      </c>
      <c r="H22" s="114">
        <f>2*'Costo HH'!$D$8*G22</f>
        <v>2144000</v>
      </c>
      <c r="I22" s="129">
        <f t="shared" si="9"/>
        <v>2144000</v>
      </c>
      <c r="J22" s="343">
        <f>+K22-'Jerarq. Riesgos Plazo'!$K$76*'Aplicación proyecto JE'!K22</f>
        <v>17</v>
      </c>
      <c r="K22" s="203">
        <f t="shared" si="10"/>
        <v>20</v>
      </c>
      <c r="L22" s="202">
        <f>+K22*('Jerarq. Riesgos Plazo'!$L$76+1)</f>
        <v>22.008861657899889</v>
      </c>
      <c r="M22" s="64">
        <f>+N22*(-'Jerarq. Riesgos Costos'!$J$78+1)</f>
        <v>1929600</v>
      </c>
      <c r="N22" s="203">
        <f t="shared" si="2"/>
        <v>2144000</v>
      </c>
      <c r="O22" s="49">
        <f>+N22*('Jerarq. Riesgos Costos'!$K$78+1)</f>
        <v>2677299.9405617011</v>
      </c>
      <c r="P22" s="245"/>
      <c r="Q22" s="203"/>
      <c r="R22" s="264"/>
      <c r="S22" s="38"/>
      <c r="T22" s="203"/>
      <c r="U22" s="34"/>
      <c r="V22" s="288">
        <v>16</v>
      </c>
      <c r="W22" s="203">
        <f t="shared" si="11"/>
        <v>0</v>
      </c>
      <c r="X22" s="202">
        <f>+W22*('Jerarq. Riesgos Plazo'!$M$65/100+1)</f>
        <v>0</v>
      </c>
      <c r="Y22" s="63"/>
      <c r="Z22" s="43"/>
      <c r="AA22" s="246"/>
      <c r="AB22" s="245">
        <v>16</v>
      </c>
      <c r="AC22" s="203">
        <f t="shared" si="12"/>
        <v>0</v>
      </c>
      <c r="AD22" s="202">
        <f>+AC22*('Jerarq. Riesgos Plazo'!$M$65/100+1)</f>
        <v>0</v>
      </c>
      <c r="AE22" s="63"/>
      <c r="AF22" s="43"/>
      <c r="AG22" s="246"/>
    </row>
    <row r="23" spans="2:33" ht="18" x14ac:dyDescent="0.25">
      <c r="B23" s="105" t="s">
        <v>404</v>
      </c>
      <c r="C23" s="105">
        <v>4</v>
      </c>
      <c r="D23" s="106" t="s">
        <v>629</v>
      </c>
      <c r="E23" s="107"/>
      <c r="F23" s="108"/>
      <c r="G23" s="109"/>
      <c r="H23" s="109"/>
      <c r="I23" s="128"/>
      <c r="J23" s="133"/>
      <c r="K23" s="134"/>
      <c r="L23" s="201"/>
      <c r="M23" s="133"/>
      <c r="N23" s="134"/>
      <c r="O23" s="135"/>
      <c r="P23" s="133"/>
      <c r="Q23" s="134">
        <f t="shared" ref="Q23:Q70" si="13">+K23</f>
        <v>0</v>
      </c>
      <c r="R23" s="135"/>
      <c r="S23" s="293"/>
      <c r="T23" s="134"/>
      <c r="U23" s="135"/>
      <c r="V23" s="133"/>
      <c r="W23" s="134"/>
      <c r="X23" s="201"/>
      <c r="Y23" s="133"/>
      <c r="Z23" s="134"/>
      <c r="AA23" s="135"/>
      <c r="AB23" s="133"/>
      <c r="AC23" s="134"/>
      <c r="AD23" s="201"/>
      <c r="AE23" s="133"/>
      <c r="AF23" s="134"/>
      <c r="AG23" s="135"/>
    </row>
    <row r="24" spans="2:33" ht="18" x14ac:dyDescent="0.25">
      <c r="B24" s="251" t="s">
        <v>406</v>
      </c>
      <c r="C24" s="251" t="s">
        <v>451</v>
      </c>
      <c r="D24" s="252" t="s">
        <v>405</v>
      </c>
      <c r="E24" s="253"/>
      <c r="F24" s="254"/>
      <c r="G24" s="255">
        <f>+SUM(G25:G26)</f>
        <v>35</v>
      </c>
      <c r="H24" s="255"/>
      <c r="I24" s="256">
        <f>+I25+I26</f>
        <v>140000000</v>
      </c>
      <c r="J24" s="257">
        <f>+SUM(J25:J26)</f>
        <v>31.5</v>
      </c>
      <c r="K24" s="258">
        <f>+SUM(K25:K26)</f>
        <v>35</v>
      </c>
      <c r="L24" s="256">
        <f>+SUM(L25:L26)</f>
        <v>55.407364123282868</v>
      </c>
      <c r="M24" s="257">
        <f>+SUM(M25:M26)</f>
        <v>126000000</v>
      </c>
      <c r="N24" s="258">
        <f>+SUM(N25:N26)</f>
        <v>140000000</v>
      </c>
      <c r="O24" s="262">
        <f>+O25+O26</f>
        <v>174823690.14861855</v>
      </c>
      <c r="P24" s="257"/>
      <c r="Q24" s="258"/>
      <c r="R24" s="262"/>
      <c r="S24" s="367"/>
      <c r="T24" s="258"/>
      <c r="U24" s="262"/>
      <c r="V24" s="257">
        <v>30</v>
      </c>
      <c r="W24" s="258">
        <f>+SUM(W25:W26)</f>
        <v>35</v>
      </c>
      <c r="X24" s="256">
        <f>+W24*('Jerarq. Riesgos Plazo'!$M$65/100+1)</f>
        <v>35.041837914937723</v>
      </c>
      <c r="Y24" s="257"/>
      <c r="Z24" s="258"/>
      <c r="AA24" s="259"/>
      <c r="AB24" s="257">
        <v>30</v>
      </c>
      <c r="AC24" s="258">
        <f>+SUM(AC25:AC26)</f>
        <v>35</v>
      </c>
      <c r="AD24" s="256">
        <f>+AC24*('Jerarq. Riesgos Plazo'!$M$65/100+1)</f>
        <v>35.041837914937723</v>
      </c>
      <c r="AE24" s="257"/>
      <c r="AF24" s="258"/>
      <c r="AG24" s="259"/>
    </row>
    <row r="25" spans="2:33" ht="18" x14ac:dyDescent="0.25">
      <c r="B25" s="110" t="s">
        <v>406</v>
      </c>
      <c r="C25" s="111" t="s">
        <v>631</v>
      </c>
      <c r="D25" s="112" t="s">
        <v>410</v>
      </c>
      <c r="E25" s="113" t="s">
        <v>411</v>
      </c>
      <c r="F25" s="112">
        <v>1</v>
      </c>
      <c r="G25" s="265">
        <v>25</v>
      </c>
      <c r="H25" s="114">
        <v>50000000</v>
      </c>
      <c r="I25" s="129">
        <f>+F25*H25</f>
        <v>50000000</v>
      </c>
      <c r="J25" s="343">
        <f>+K25-'Jerarq. Riesgos Plazo'!$K$77*'Aplicación proyecto JE'!K25</f>
        <v>22.5</v>
      </c>
      <c r="K25" s="34">
        <f>+G25</f>
        <v>25</v>
      </c>
      <c r="L25" s="202">
        <f>+K25*('Jerarq. Riesgos Plazo'!$L$77+1)</f>
        <v>39.576688659487765</v>
      </c>
      <c r="M25" s="64">
        <f>+N25*(-'Jerarq. Riesgos Costos'!$J$78+1)</f>
        <v>45000000</v>
      </c>
      <c r="N25" s="34">
        <f>+I25</f>
        <v>50000000</v>
      </c>
      <c r="O25" s="49">
        <f>+N25*('Jerarq. Riesgos Costos'!$K$78+1)</f>
        <v>62437032.195935197</v>
      </c>
      <c r="P25" s="29"/>
      <c r="Q25" s="4"/>
      <c r="R25" s="264"/>
      <c r="S25" s="38"/>
      <c r="T25" s="203"/>
      <c r="U25" s="34"/>
      <c r="V25" s="29"/>
      <c r="W25" s="4">
        <v>25</v>
      </c>
      <c r="X25" s="202"/>
      <c r="Y25" s="64"/>
      <c r="Z25" s="34"/>
      <c r="AA25" s="49"/>
      <c r="AB25" s="29"/>
      <c r="AC25" s="4">
        <v>25</v>
      </c>
      <c r="AD25" s="202"/>
      <c r="AE25" s="64"/>
      <c r="AF25" s="34"/>
      <c r="AG25" s="49"/>
    </row>
    <row r="26" spans="2:33" ht="18" x14ac:dyDescent="0.25">
      <c r="B26" s="110" t="s">
        <v>406</v>
      </c>
      <c r="C26" s="111" t="s">
        <v>630</v>
      </c>
      <c r="D26" s="112" t="s">
        <v>408</v>
      </c>
      <c r="E26" s="113" t="s">
        <v>409</v>
      </c>
      <c r="F26" s="112">
        <v>3</v>
      </c>
      <c r="G26" s="265">
        <v>10</v>
      </c>
      <c r="H26" s="114">
        <v>30000000</v>
      </c>
      <c r="I26" s="129">
        <f>+F26*H26</f>
        <v>90000000</v>
      </c>
      <c r="J26" s="343">
        <f>+K26-'Jerarq. Riesgos Plazo'!$K$77*'Aplicación proyecto JE'!K26</f>
        <v>9</v>
      </c>
      <c r="K26" s="4">
        <f>+G26</f>
        <v>10</v>
      </c>
      <c r="L26" s="202">
        <f>+K26*('Jerarq. Riesgos Plazo'!$L$77+1)</f>
        <v>15.830675463795105</v>
      </c>
      <c r="M26" s="64">
        <f>+N26*(-'Jerarq. Riesgos Costos'!$J$78+1)</f>
        <v>81000000</v>
      </c>
      <c r="N26" s="203">
        <f>+I26</f>
        <v>90000000</v>
      </c>
      <c r="O26" s="49">
        <f>+N26*('Jerarq. Riesgos Costos'!$K$78+1)</f>
        <v>112386657.95268334</v>
      </c>
      <c r="P26" s="29"/>
      <c r="Q26" s="4"/>
      <c r="R26" s="264"/>
      <c r="S26" s="38"/>
      <c r="T26" s="203"/>
      <c r="U26" s="34"/>
      <c r="V26" s="29"/>
      <c r="W26" s="4">
        <v>10</v>
      </c>
      <c r="X26" s="202"/>
      <c r="Y26" s="29"/>
      <c r="Z26" s="4"/>
      <c r="AA26" s="30"/>
      <c r="AB26" s="29"/>
      <c r="AC26" s="4">
        <v>10</v>
      </c>
      <c r="AD26" s="202"/>
      <c r="AE26" s="29"/>
      <c r="AF26" s="4"/>
      <c r="AG26" s="30"/>
    </row>
    <row r="27" spans="2:33" ht="18" x14ac:dyDescent="0.25">
      <c r="B27" s="251" t="s">
        <v>413</v>
      </c>
      <c r="C27" s="251" t="s">
        <v>454</v>
      </c>
      <c r="D27" s="252" t="s">
        <v>412</v>
      </c>
      <c r="E27" s="253"/>
      <c r="F27" s="254"/>
      <c r="G27" s="261">
        <f>+SUM(G28:G38)</f>
        <v>23.2</v>
      </c>
      <c r="H27" s="255"/>
      <c r="I27" s="256">
        <f t="shared" ref="I27:O27" si="14">+SUM(I28:I38)</f>
        <v>86399280</v>
      </c>
      <c r="J27" s="257">
        <f t="shared" si="14"/>
        <v>20.880000000000003</v>
      </c>
      <c r="K27" s="261">
        <f t="shared" si="14"/>
        <v>23.2</v>
      </c>
      <c r="L27" s="256">
        <f t="shared" si="14"/>
        <v>36.72716707600464</v>
      </c>
      <c r="M27" s="260">
        <f t="shared" si="14"/>
        <v>69119424</v>
      </c>
      <c r="N27" s="261">
        <f t="shared" si="14"/>
        <v>86399280</v>
      </c>
      <c r="O27" s="262">
        <f t="shared" si="14"/>
        <v>119554195.34131239</v>
      </c>
      <c r="P27" s="260">
        <f t="shared" ref="P27:U27" si="15">+SUM(P28:P38)</f>
        <v>20.880000000000003</v>
      </c>
      <c r="Q27" s="261">
        <f t="shared" si="15"/>
        <v>23.2</v>
      </c>
      <c r="R27" s="262">
        <f t="shared" si="15"/>
        <v>32.563185367113178</v>
      </c>
      <c r="S27" s="368">
        <f t="shared" si="15"/>
        <v>69119424</v>
      </c>
      <c r="T27" s="261">
        <f t="shared" si="15"/>
        <v>86399280</v>
      </c>
      <c r="U27" s="262">
        <f t="shared" si="15"/>
        <v>114475812.56524956</v>
      </c>
      <c r="V27" s="260">
        <v>20</v>
      </c>
      <c r="W27" s="261">
        <f>+SUM(W28:W38)</f>
        <v>23.2</v>
      </c>
      <c r="X27" s="256">
        <f>+W27*('Jerarq. Riesgos Plazo'!$M$65/100+1)</f>
        <v>23.227732560758721</v>
      </c>
      <c r="Y27" s="260"/>
      <c r="Z27" s="261"/>
      <c r="AA27" s="262"/>
      <c r="AB27" s="260">
        <v>20</v>
      </c>
      <c r="AC27" s="261">
        <f>+SUM(AC28:AC38)</f>
        <v>23.2</v>
      </c>
      <c r="AD27" s="256">
        <f>+AC27*('Jerarq. Riesgos Plazo'!$M$65/100+1)</f>
        <v>23.227732560758721</v>
      </c>
      <c r="AE27" s="260"/>
      <c r="AF27" s="261"/>
      <c r="AG27" s="262"/>
    </row>
    <row r="28" spans="2:33" ht="18" x14ac:dyDescent="0.25">
      <c r="B28" s="110" t="s">
        <v>413</v>
      </c>
      <c r="C28" s="115" t="s">
        <v>632</v>
      </c>
      <c r="D28" s="112" t="s">
        <v>415</v>
      </c>
      <c r="E28" s="113" t="s">
        <v>416</v>
      </c>
      <c r="F28" s="113">
        <v>2</v>
      </c>
      <c r="G28" s="265">
        <v>1.2</v>
      </c>
      <c r="H28" s="114">
        <v>360000</v>
      </c>
      <c r="I28" s="129">
        <f t="shared" ref="I28:I91" si="16">+F28*H28</f>
        <v>720000</v>
      </c>
      <c r="J28" s="343">
        <f>+K28-'Jerarq. Riesgos Plazo'!$K$77*'Aplicación proyecto JE'!K28</f>
        <v>1.08</v>
      </c>
      <c r="K28" s="4">
        <v>1.2</v>
      </c>
      <c r="L28" s="202">
        <f>+K28*('Jerarq. Riesgos Plazo'!$L$77+1)</f>
        <v>1.8996810556554125</v>
      </c>
      <c r="M28" s="64">
        <f>+N28*(-'Jerarq. Riesgos Costos'!$J$74+1)</f>
        <v>576000</v>
      </c>
      <c r="N28" s="203">
        <f>+I28</f>
        <v>720000</v>
      </c>
      <c r="O28" s="49">
        <f>+N28*('Jerarq. Riesgos Costos'!$K$74+1)</f>
        <v>996293.26362146682</v>
      </c>
      <c r="P28" s="64">
        <f>+Q28-Q28*'Jerarq. Riesgos Plazo'!$Q$77</f>
        <v>1.08</v>
      </c>
      <c r="Q28" s="4">
        <f t="shared" si="13"/>
        <v>1.2</v>
      </c>
      <c r="R28" s="264">
        <f>+Q28+Q28*'Jerarq. Riesgos Plazo'!$R$77</f>
        <v>1.6843026914024057</v>
      </c>
      <c r="S28" s="38">
        <f>+T28*(-'Jerarq. Riesgos Costos'!$P$74+1)</f>
        <v>576000</v>
      </c>
      <c r="T28" s="203">
        <f t="shared" ref="T28:T91" si="17">+N28</f>
        <v>720000</v>
      </c>
      <c r="U28" s="34">
        <f>+T28*('Jerarq. Riesgos Costos'!$Q$74+1)</f>
        <v>953973.05448586703</v>
      </c>
      <c r="V28" s="29"/>
      <c r="W28" s="4">
        <v>1.2</v>
      </c>
      <c r="X28" s="256">
        <f>+W28*('Jerarq. Riesgos Plazo'!$M$65/100+1)</f>
        <v>1.2014344427978647</v>
      </c>
      <c r="Y28" s="29"/>
      <c r="Z28" s="4"/>
      <c r="AA28" s="30"/>
      <c r="AB28" s="29"/>
      <c r="AC28" s="4">
        <v>1.2</v>
      </c>
      <c r="AD28" s="256">
        <f>+AC28*('Jerarq. Riesgos Plazo'!$M$65/100+1)</f>
        <v>1.2014344427978647</v>
      </c>
      <c r="AE28" s="29"/>
      <c r="AF28" s="4"/>
      <c r="AG28" s="30"/>
    </row>
    <row r="29" spans="2:33" ht="18" x14ac:dyDescent="0.25">
      <c r="B29" s="110" t="s">
        <v>413</v>
      </c>
      <c r="C29" s="115" t="s">
        <v>633</v>
      </c>
      <c r="D29" s="112" t="s">
        <v>418</v>
      </c>
      <c r="E29" s="113" t="s">
        <v>416</v>
      </c>
      <c r="F29" s="113">
        <v>20</v>
      </c>
      <c r="G29" s="265">
        <v>1</v>
      </c>
      <c r="H29" s="114">
        <v>360000</v>
      </c>
      <c r="I29" s="129">
        <f t="shared" si="16"/>
        <v>7200000</v>
      </c>
      <c r="J29" s="343">
        <f>+K29-'Jerarq. Riesgos Plazo'!$K$77*'Aplicación proyecto JE'!K29</f>
        <v>0.9</v>
      </c>
      <c r="K29" s="4">
        <v>1</v>
      </c>
      <c r="L29" s="202">
        <f>+K29*('Jerarq. Riesgos Plazo'!$L$77+1)</f>
        <v>1.5830675463795105</v>
      </c>
      <c r="M29" s="64">
        <f>+N29*(-'Jerarq. Riesgos Costos'!$J$74+1)</f>
        <v>5760000</v>
      </c>
      <c r="N29" s="203">
        <f t="shared" ref="N29:N92" si="18">+I29</f>
        <v>7200000</v>
      </c>
      <c r="O29" s="49">
        <f>+N29*('Jerarq. Riesgos Costos'!$K$74+1)</f>
        <v>9962932.6362146679</v>
      </c>
      <c r="P29" s="64">
        <f>+Q29-Q29*'Jerarq. Riesgos Plazo'!$Q$77</f>
        <v>0.9</v>
      </c>
      <c r="Q29" s="4">
        <f t="shared" si="13"/>
        <v>1</v>
      </c>
      <c r="R29" s="264">
        <f>+Q29+Q29*'Jerarq. Riesgos Plazo'!$R$77</f>
        <v>1.4035855761686715</v>
      </c>
      <c r="S29" s="38">
        <f>+T29*(-'Jerarq. Riesgos Costos'!$P$74+1)</f>
        <v>5760000</v>
      </c>
      <c r="T29" s="203">
        <f t="shared" si="17"/>
        <v>7200000</v>
      </c>
      <c r="U29" s="34">
        <f>+T29*('Jerarq. Riesgos Costos'!$Q$74+1)</f>
        <v>9539730.5448586699</v>
      </c>
      <c r="V29" s="29"/>
      <c r="W29" s="4">
        <v>1</v>
      </c>
      <c r="X29" s="256">
        <f>+W29*('Jerarq. Riesgos Plazo'!$M$65/100+1)</f>
        <v>1.0011953689982207</v>
      </c>
      <c r="Y29" s="29"/>
      <c r="Z29" s="4"/>
      <c r="AA29" s="30"/>
      <c r="AB29" s="29"/>
      <c r="AC29" s="4">
        <v>1</v>
      </c>
      <c r="AD29" s="256">
        <f>+AC29*('Jerarq. Riesgos Plazo'!$M$65/100+1)</f>
        <v>1.0011953689982207</v>
      </c>
      <c r="AE29" s="29"/>
      <c r="AF29" s="4"/>
      <c r="AG29" s="30"/>
    </row>
    <row r="30" spans="2:33" ht="18" x14ac:dyDescent="0.25">
      <c r="B30" s="110" t="s">
        <v>413</v>
      </c>
      <c r="C30" s="115" t="s">
        <v>634</v>
      </c>
      <c r="D30" s="112" t="s">
        <v>420</v>
      </c>
      <c r="E30" s="113" t="s">
        <v>416</v>
      </c>
      <c r="F30" s="113">
        <v>1</v>
      </c>
      <c r="G30" s="265">
        <v>1</v>
      </c>
      <c r="H30" s="114">
        <v>360000</v>
      </c>
      <c r="I30" s="129">
        <f t="shared" si="16"/>
        <v>360000</v>
      </c>
      <c r="J30" s="343">
        <f>+K30-'Jerarq. Riesgos Plazo'!$K$77*'Aplicación proyecto JE'!K30</f>
        <v>0.9</v>
      </c>
      <c r="K30" s="4">
        <v>1</v>
      </c>
      <c r="L30" s="202">
        <f>+K30*('Jerarq. Riesgos Plazo'!$L$77+1)</f>
        <v>1.5830675463795105</v>
      </c>
      <c r="M30" s="64">
        <f>+N30*(-'Jerarq. Riesgos Costos'!$J$74+1)</f>
        <v>288000</v>
      </c>
      <c r="N30" s="203">
        <f t="shared" si="18"/>
        <v>360000</v>
      </c>
      <c r="O30" s="49">
        <f>+N30*('Jerarq. Riesgos Costos'!$K$74+1)</f>
        <v>498146.63181073341</v>
      </c>
      <c r="P30" s="64">
        <f>+Q30-Q30*'Jerarq. Riesgos Plazo'!$Q$77</f>
        <v>0.9</v>
      </c>
      <c r="Q30" s="4">
        <f t="shared" si="13"/>
        <v>1</v>
      </c>
      <c r="R30" s="264">
        <f>+Q30+Q30*'Jerarq. Riesgos Plazo'!$R$77</f>
        <v>1.4035855761686715</v>
      </c>
      <c r="S30" s="38">
        <f>+T30*(-'Jerarq. Riesgos Costos'!$P$74+1)</f>
        <v>288000</v>
      </c>
      <c r="T30" s="203">
        <f t="shared" si="17"/>
        <v>360000</v>
      </c>
      <c r="U30" s="34">
        <f>+T30*('Jerarq. Riesgos Costos'!$Q$74+1)</f>
        <v>476986.52724293352</v>
      </c>
      <c r="V30" s="29"/>
      <c r="W30" s="4">
        <v>1</v>
      </c>
      <c r="X30" s="256">
        <f>+W30*('Jerarq. Riesgos Plazo'!$M$65/100+1)</f>
        <v>1.0011953689982207</v>
      </c>
      <c r="Y30" s="29"/>
      <c r="Z30" s="4"/>
      <c r="AA30" s="30"/>
      <c r="AB30" s="29"/>
      <c r="AC30" s="4">
        <v>1</v>
      </c>
      <c r="AD30" s="256">
        <f>+AC30*('Jerarq. Riesgos Plazo'!$M$65/100+1)</f>
        <v>1.0011953689982207</v>
      </c>
      <c r="AE30" s="29"/>
      <c r="AF30" s="4"/>
      <c r="AG30" s="30"/>
    </row>
    <row r="31" spans="2:33" ht="18" x14ac:dyDescent="0.25">
      <c r="B31" s="110" t="s">
        <v>413</v>
      </c>
      <c r="C31" s="115" t="s">
        <v>635</v>
      </c>
      <c r="D31" s="112" t="s">
        <v>422</v>
      </c>
      <c r="E31" s="113" t="s">
        <v>416</v>
      </c>
      <c r="F31" s="113">
        <v>23</v>
      </c>
      <c r="G31" s="265">
        <v>2</v>
      </c>
      <c r="H31" s="114">
        <v>26085</v>
      </c>
      <c r="I31" s="129">
        <f t="shared" si="16"/>
        <v>599955</v>
      </c>
      <c r="J31" s="343">
        <f>+K31-'Jerarq. Riesgos Plazo'!$K$77*'Aplicación proyecto JE'!K31</f>
        <v>1.8</v>
      </c>
      <c r="K31" s="4">
        <v>2</v>
      </c>
      <c r="L31" s="202">
        <f>+K31*('Jerarq. Riesgos Plazo'!$L$77+1)</f>
        <v>3.1661350927590211</v>
      </c>
      <c r="M31" s="64">
        <f>+N31*(-'Jerarq. Riesgos Costos'!$J$74+1)</f>
        <v>479964</v>
      </c>
      <c r="N31" s="203">
        <f t="shared" si="18"/>
        <v>599955</v>
      </c>
      <c r="O31" s="49">
        <f>+N31*('Jerarq. Riesgos Costos'!$K$74+1)</f>
        <v>830182.11802224594</v>
      </c>
      <c r="P31" s="64">
        <f>+Q31-Q31*'Jerarq. Riesgos Plazo'!$Q$77</f>
        <v>1.8</v>
      </c>
      <c r="Q31" s="4">
        <f t="shared" si="13"/>
        <v>2</v>
      </c>
      <c r="R31" s="264">
        <f>+Q31+Q31*'Jerarq. Riesgos Plazo'!$R$77</f>
        <v>2.807171152337343</v>
      </c>
      <c r="S31" s="38">
        <f>+T31*(-'Jerarq. Riesgos Costos'!$P$74+1)</f>
        <v>479964</v>
      </c>
      <c r="T31" s="203">
        <f t="shared" si="17"/>
        <v>599955</v>
      </c>
      <c r="U31" s="34">
        <f>+T31*('Jerarq. Riesgos Costos'!$Q$74+1)</f>
        <v>794917.92208898382</v>
      </c>
      <c r="V31" s="29"/>
      <c r="W31" s="4">
        <v>2</v>
      </c>
      <c r="X31" s="256">
        <f>+W31*('Jerarq. Riesgos Plazo'!$M$65/100+1)</f>
        <v>2.0023907379964414</v>
      </c>
      <c r="Y31" s="29"/>
      <c r="Z31" s="4"/>
      <c r="AA31" s="30"/>
      <c r="AB31" s="29"/>
      <c r="AC31" s="4">
        <v>2</v>
      </c>
      <c r="AD31" s="256">
        <f>+AC31*('Jerarq. Riesgos Plazo'!$M$65/100+1)</f>
        <v>2.0023907379964414</v>
      </c>
      <c r="AE31" s="29"/>
      <c r="AF31" s="4"/>
      <c r="AG31" s="30"/>
    </row>
    <row r="32" spans="2:33" ht="18" x14ac:dyDescent="0.25">
      <c r="B32" s="110" t="s">
        <v>413</v>
      </c>
      <c r="C32" s="115" t="s">
        <v>636</v>
      </c>
      <c r="D32" s="112" t="s">
        <v>424</v>
      </c>
      <c r="E32" s="113" t="s">
        <v>416</v>
      </c>
      <c r="F32" s="113">
        <v>157</v>
      </c>
      <c r="G32" s="265">
        <v>3</v>
      </c>
      <c r="H32" s="114">
        <v>25000</v>
      </c>
      <c r="I32" s="129">
        <f t="shared" si="16"/>
        <v>3925000</v>
      </c>
      <c r="J32" s="343">
        <f>+K32-'Jerarq. Riesgos Plazo'!$K$77*'Aplicación proyecto JE'!K32</f>
        <v>2.7</v>
      </c>
      <c r="K32" s="4">
        <v>3</v>
      </c>
      <c r="L32" s="202">
        <f>+K32*('Jerarq. Riesgos Plazo'!$L$77+1)</f>
        <v>4.7492026391385318</v>
      </c>
      <c r="M32" s="64">
        <f>+N32*(-'Jerarq. Riesgos Costos'!$J$74+1)</f>
        <v>3140000</v>
      </c>
      <c r="N32" s="203">
        <f t="shared" si="18"/>
        <v>3925000</v>
      </c>
      <c r="O32" s="49">
        <f>+N32*('Jerarq. Riesgos Costos'!$K$74+1)</f>
        <v>5431182.0273809126</v>
      </c>
      <c r="P32" s="64">
        <f>+Q32-Q32*'Jerarq. Riesgos Plazo'!$Q$77</f>
        <v>2.7</v>
      </c>
      <c r="Q32" s="4">
        <f t="shared" si="13"/>
        <v>3</v>
      </c>
      <c r="R32" s="264">
        <f>+Q32+Q32*'Jerarq. Riesgos Plazo'!$R$77</f>
        <v>4.2107567285060146</v>
      </c>
      <c r="S32" s="38">
        <f>+T32*(-'Jerarq. Riesgos Costos'!$P$74+1)</f>
        <v>3140000</v>
      </c>
      <c r="T32" s="203">
        <f t="shared" si="17"/>
        <v>3925000</v>
      </c>
      <c r="U32" s="34">
        <f>+T32*('Jerarq. Riesgos Costos'!$Q$74+1)</f>
        <v>5200478.1095236503</v>
      </c>
      <c r="V32" s="29"/>
      <c r="W32" s="4">
        <v>3</v>
      </c>
      <c r="X32" s="256">
        <f>+W32*('Jerarq. Riesgos Plazo'!$M$65/100+1)</f>
        <v>3.0035861069946623</v>
      </c>
      <c r="Y32" s="29"/>
      <c r="Z32" s="4"/>
      <c r="AA32" s="30"/>
      <c r="AB32" s="29"/>
      <c r="AC32" s="4">
        <v>3</v>
      </c>
      <c r="AD32" s="256">
        <f>+AC32*('Jerarq. Riesgos Plazo'!$M$65/100+1)</f>
        <v>3.0035861069946623</v>
      </c>
      <c r="AE32" s="29"/>
      <c r="AF32" s="4"/>
      <c r="AG32" s="30"/>
    </row>
    <row r="33" spans="2:33" ht="18" x14ac:dyDescent="0.25">
      <c r="B33" s="110" t="s">
        <v>413</v>
      </c>
      <c r="C33" s="115" t="s">
        <v>637</v>
      </c>
      <c r="D33" s="112" t="s">
        <v>426</v>
      </c>
      <c r="E33" s="113" t="s">
        <v>416</v>
      </c>
      <c r="F33" s="113">
        <v>30</v>
      </c>
      <c r="G33" s="265">
        <v>3</v>
      </c>
      <c r="H33" s="114">
        <v>17000</v>
      </c>
      <c r="I33" s="129">
        <f t="shared" si="16"/>
        <v>510000</v>
      </c>
      <c r="J33" s="343">
        <f>+K33-'Jerarq. Riesgos Plazo'!$K$77*'Aplicación proyecto JE'!K33</f>
        <v>2.7</v>
      </c>
      <c r="K33" s="4">
        <v>3</v>
      </c>
      <c r="L33" s="202">
        <f>+K33*('Jerarq. Riesgos Plazo'!$L$77+1)</f>
        <v>4.7492026391385318</v>
      </c>
      <c r="M33" s="64">
        <f>+N33*(-'Jerarq. Riesgos Costos'!$J$74+1)</f>
        <v>408000</v>
      </c>
      <c r="N33" s="203">
        <f t="shared" si="18"/>
        <v>510000</v>
      </c>
      <c r="O33" s="49">
        <f>+N33*('Jerarq. Riesgos Costos'!$K$74+1)</f>
        <v>705707.72839853901</v>
      </c>
      <c r="P33" s="64">
        <f>+Q33-Q33*'Jerarq. Riesgos Plazo'!$Q$77</f>
        <v>2.7</v>
      </c>
      <c r="Q33" s="4">
        <f t="shared" si="13"/>
        <v>3</v>
      </c>
      <c r="R33" s="264">
        <f>+Q33+Q33*'Jerarq. Riesgos Plazo'!$R$77</f>
        <v>4.2107567285060146</v>
      </c>
      <c r="S33" s="38">
        <f>+T33*(-'Jerarq. Riesgos Costos'!$P$74+1)</f>
        <v>408000</v>
      </c>
      <c r="T33" s="203">
        <f t="shared" si="17"/>
        <v>510000</v>
      </c>
      <c r="U33" s="34">
        <f>+T33*('Jerarq. Riesgos Costos'!$Q$74+1)</f>
        <v>675730.91359415581</v>
      </c>
      <c r="V33" s="29"/>
      <c r="W33" s="4">
        <v>3</v>
      </c>
      <c r="X33" s="256">
        <f>+W33*('Jerarq. Riesgos Plazo'!$M$65/100+1)</f>
        <v>3.0035861069946623</v>
      </c>
      <c r="Y33" s="29"/>
      <c r="Z33" s="4"/>
      <c r="AA33" s="30"/>
      <c r="AB33" s="29"/>
      <c r="AC33" s="4">
        <v>3</v>
      </c>
      <c r="AD33" s="256">
        <f>+AC33*('Jerarq. Riesgos Plazo'!$M$65/100+1)</f>
        <v>3.0035861069946623</v>
      </c>
      <c r="AE33" s="29"/>
      <c r="AF33" s="4"/>
      <c r="AG33" s="30"/>
    </row>
    <row r="34" spans="2:33" ht="18" x14ac:dyDescent="0.25">
      <c r="B34" s="110" t="s">
        <v>413</v>
      </c>
      <c r="C34" s="115" t="s">
        <v>638</v>
      </c>
      <c r="D34" s="112" t="s">
        <v>428</v>
      </c>
      <c r="E34" s="113" t="s">
        <v>429</v>
      </c>
      <c r="F34" s="113">
        <v>6000</v>
      </c>
      <c r="G34" s="265">
        <v>2</v>
      </c>
      <c r="H34" s="114">
        <v>3100</v>
      </c>
      <c r="I34" s="129">
        <f t="shared" si="16"/>
        <v>18600000</v>
      </c>
      <c r="J34" s="343">
        <f>+K34-'Jerarq. Riesgos Plazo'!$K$77*'Aplicación proyecto JE'!K34</f>
        <v>1.8</v>
      </c>
      <c r="K34" s="4">
        <v>2</v>
      </c>
      <c r="L34" s="202">
        <f>+K34*('Jerarq. Riesgos Plazo'!$L$77+1)</f>
        <v>3.1661350927590211</v>
      </c>
      <c r="M34" s="64">
        <f>+N34*(-'Jerarq. Riesgos Costos'!$J$74+1)</f>
        <v>14880000</v>
      </c>
      <c r="N34" s="203">
        <f t="shared" si="18"/>
        <v>18600000</v>
      </c>
      <c r="O34" s="49">
        <f>+N34*('Jerarq. Riesgos Costos'!$K$74+1)</f>
        <v>25737575.976887893</v>
      </c>
      <c r="P34" s="64">
        <f>+Q34-Q34*'Jerarq. Riesgos Plazo'!$Q$77</f>
        <v>1.8</v>
      </c>
      <c r="Q34" s="4">
        <f t="shared" si="13"/>
        <v>2</v>
      </c>
      <c r="R34" s="264">
        <f>+Q34+Q34*'Jerarq. Riesgos Plazo'!$R$77</f>
        <v>2.807171152337343</v>
      </c>
      <c r="S34" s="38">
        <f>+T34*(-'Jerarq. Riesgos Costos'!$P$74+1)</f>
        <v>14880000</v>
      </c>
      <c r="T34" s="203">
        <f t="shared" si="17"/>
        <v>18600000</v>
      </c>
      <c r="U34" s="34">
        <f>+T34*('Jerarq. Riesgos Costos'!$Q$74+1)</f>
        <v>24644303.907551564</v>
      </c>
      <c r="V34" s="29"/>
      <c r="W34" s="4">
        <v>2</v>
      </c>
      <c r="X34" s="256">
        <f>+W34*('Jerarq. Riesgos Plazo'!$M$65/100+1)</f>
        <v>2.0023907379964414</v>
      </c>
      <c r="Y34" s="29"/>
      <c r="Z34" s="4"/>
      <c r="AA34" s="30"/>
      <c r="AB34" s="29"/>
      <c r="AC34" s="4">
        <v>2</v>
      </c>
      <c r="AD34" s="256">
        <f>+AC34*('Jerarq. Riesgos Plazo'!$M$65/100+1)</f>
        <v>2.0023907379964414</v>
      </c>
      <c r="AE34" s="29"/>
      <c r="AF34" s="4"/>
      <c r="AG34" s="30"/>
    </row>
    <row r="35" spans="2:33" ht="18" x14ac:dyDescent="0.25">
      <c r="B35" s="110" t="s">
        <v>413</v>
      </c>
      <c r="C35" s="115" t="s">
        <v>639</v>
      </c>
      <c r="D35" s="112" t="s">
        <v>430</v>
      </c>
      <c r="E35" s="113" t="s">
        <v>416</v>
      </c>
      <c r="F35" s="113">
        <v>70</v>
      </c>
      <c r="G35" s="265">
        <v>3</v>
      </c>
      <c r="H35" s="114">
        <v>650000</v>
      </c>
      <c r="I35" s="129">
        <f t="shared" si="16"/>
        <v>45500000</v>
      </c>
      <c r="J35" s="343">
        <f>+K35-'Jerarq. Riesgos Plazo'!$K$77*'Aplicación proyecto JE'!K35</f>
        <v>2.7</v>
      </c>
      <c r="K35" s="4">
        <v>3</v>
      </c>
      <c r="L35" s="202">
        <f>+K35*('Jerarq. Riesgos Plazo'!$L$77+1)</f>
        <v>4.7492026391385318</v>
      </c>
      <c r="M35" s="64">
        <f>+N35*(-'Jerarq. Riesgos Costos'!$J$74+1)</f>
        <v>36400000</v>
      </c>
      <c r="N35" s="203">
        <f t="shared" si="18"/>
        <v>45500000</v>
      </c>
      <c r="O35" s="49">
        <f>+N35*('Jerarq. Riesgos Costos'!$K$74+1)</f>
        <v>62960199.298301026</v>
      </c>
      <c r="P35" s="64">
        <f>+Q35-Q35*'Jerarq. Riesgos Plazo'!$Q$77</f>
        <v>2.7</v>
      </c>
      <c r="Q35" s="4">
        <f t="shared" si="13"/>
        <v>3</v>
      </c>
      <c r="R35" s="264">
        <f>+Q35+Q35*'Jerarq. Riesgos Plazo'!$R$77</f>
        <v>4.2107567285060146</v>
      </c>
      <c r="S35" s="38">
        <f>+T35*(-'Jerarq. Riesgos Costos'!$P$74+1)</f>
        <v>36400000</v>
      </c>
      <c r="T35" s="203">
        <f t="shared" si="17"/>
        <v>45500000</v>
      </c>
      <c r="U35" s="34">
        <f>+T35*('Jerarq. Riesgos Costos'!$Q$74+1)</f>
        <v>60285797.193204097</v>
      </c>
      <c r="V35" s="29"/>
      <c r="W35" s="4">
        <v>3</v>
      </c>
      <c r="X35" s="256">
        <f>+W35*('Jerarq. Riesgos Plazo'!$M$65/100+1)</f>
        <v>3.0035861069946623</v>
      </c>
      <c r="Y35" s="29"/>
      <c r="Z35" s="4"/>
      <c r="AA35" s="30"/>
      <c r="AB35" s="29"/>
      <c r="AC35" s="4">
        <v>3</v>
      </c>
      <c r="AD35" s="256">
        <f>+AC35*('Jerarq. Riesgos Plazo'!$M$65/100+1)</f>
        <v>3.0035861069946623</v>
      </c>
      <c r="AE35" s="29"/>
      <c r="AF35" s="4"/>
      <c r="AG35" s="30"/>
    </row>
    <row r="36" spans="2:33" ht="18" x14ac:dyDescent="0.25">
      <c r="B36" s="110" t="s">
        <v>413</v>
      </c>
      <c r="C36" s="115" t="s">
        <v>640</v>
      </c>
      <c r="D36" s="112" t="s">
        <v>431</v>
      </c>
      <c r="E36" s="113" t="s">
        <v>416</v>
      </c>
      <c r="F36" s="113">
        <v>7</v>
      </c>
      <c r="G36" s="265">
        <v>2</v>
      </c>
      <c r="H36" s="114">
        <v>260000</v>
      </c>
      <c r="I36" s="129">
        <f t="shared" si="16"/>
        <v>1820000</v>
      </c>
      <c r="J36" s="343">
        <f>+K36-'Jerarq. Riesgos Plazo'!$K$77*'Aplicación proyecto JE'!K36</f>
        <v>1.8</v>
      </c>
      <c r="K36" s="4">
        <v>2</v>
      </c>
      <c r="L36" s="202">
        <f>+K36*('Jerarq. Riesgos Plazo'!$L$77+1)</f>
        <v>3.1661350927590211</v>
      </c>
      <c r="M36" s="64">
        <f>+N36*(-'Jerarq. Riesgos Costos'!$J$74+1)</f>
        <v>1456000</v>
      </c>
      <c r="N36" s="203">
        <f t="shared" si="18"/>
        <v>1820000</v>
      </c>
      <c r="O36" s="49">
        <f>+N36*('Jerarq. Riesgos Costos'!$K$74+1)</f>
        <v>2518407.971932041</v>
      </c>
      <c r="P36" s="64">
        <f>+Q36-Q36*'Jerarq. Riesgos Plazo'!$Q$77</f>
        <v>1.8</v>
      </c>
      <c r="Q36" s="4">
        <f t="shared" si="13"/>
        <v>2</v>
      </c>
      <c r="R36" s="264">
        <f>+Q36+Q36*'Jerarq. Riesgos Plazo'!$R$77</f>
        <v>2.807171152337343</v>
      </c>
      <c r="S36" s="38">
        <f>+T36*(-'Jerarq. Riesgos Costos'!$P$74+1)</f>
        <v>1456000</v>
      </c>
      <c r="T36" s="203">
        <f t="shared" si="17"/>
        <v>1820000</v>
      </c>
      <c r="U36" s="34">
        <f>+T36*('Jerarq. Riesgos Costos'!$Q$74+1)</f>
        <v>2411431.887728164</v>
      </c>
      <c r="V36" s="29"/>
      <c r="W36" s="4">
        <v>2</v>
      </c>
      <c r="X36" s="256">
        <f>+W36*('Jerarq. Riesgos Plazo'!$M$65/100+1)</f>
        <v>2.0023907379964414</v>
      </c>
      <c r="Y36" s="29"/>
      <c r="Z36" s="4"/>
      <c r="AA36" s="30"/>
      <c r="AB36" s="29"/>
      <c r="AC36" s="4">
        <v>2</v>
      </c>
      <c r="AD36" s="256">
        <f>+AC36*('Jerarq. Riesgos Plazo'!$M$65/100+1)</f>
        <v>2.0023907379964414</v>
      </c>
      <c r="AE36" s="29"/>
      <c r="AF36" s="4"/>
      <c r="AG36" s="30"/>
    </row>
    <row r="37" spans="2:33" ht="18" x14ac:dyDescent="0.25">
      <c r="B37" s="110" t="s">
        <v>413</v>
      </c>
      <c r="C37" s="115" t="s">
        <v>641</v>
      </c>
      <c r="D37" s="112" t="s">
        <v>432</v>
      </c>
      <c r="E37" s="113" t="s">
        <v>416</v>
      </c>
      <c r="F37" s="113">
        <v>12.5</v>
      </c>
      <c r="G37" s="265">
        <v>3</v>
      </c>
      <c r="H37" s="114">
        <v>27146</v>
      </c>
      <c r="I37" s="129">
        <f t="shared" si="16"/>
        <v>339325</v>
      </c>
      <c r="J37" s="343">
        <f>+K37-'Jerarq. Riesgos Plazo'!$K$77*'Aplicación proyecto JE'!K37</f>
        <v>2.7</v>
      </c>
      <c r="K37" s="4">
        <v>3</v>
      </c>
      <c r="L37" s="202">
        <f>+K37*('Jerarq. Riesgos Plazo'!$L$77+1)</f>
        <v>4.7492026391385318</v>
      </c>
      <c r="M37" s="64">
        <f>+N37*(-'Jerarq. Riesgos Costos'!$J$74+1)</f>
        <v>271460</v>
      </c>
      <c r="N37" s="203">
        <f t="shared" si="18"/>
        <v>339325</v>
      </c>
      <c r="O37" s="49">
        <f>+N37*('Jerarq. Riesgos Costos'!$K$74+1)</f>
        <v>469537.79399771418</v>
      </c>
      <c r="P37" s="64">
        <f>+Q37-Q37*'Jerarq. Riesgos Plazo'!$Q$77</f>
        <v>2.7</v>
      </c>
      <c r="Q37" s="4">
        <f t="shared" si="13"/>
        <v>3</v>
      </c>
      <c r="R37" s="264">
        <f>+Q37+Q37*'Jerarq. Riesgos Plazo'!$R$77</f>
        <v>4.2107567285060146</v>
      </c>
      <c r="S37" s="38">
        <f>+T37*(-'Jerarq. Riesgos Costos'!$P$74+1)</f>
        <v>271460</v>
      </c>
      <c r="T37" s="203">
        <f t="shared" si="17"/>
        <v>339325</v>
      </c>
      <c r="U37" s="34">
        <f>+T37*('Jerarq. Riesgos Costos'!$Q$74+1)</f>
        <v>449592.92599085672</v>
      </c>
      <c r="V37" s="29"/>
      <c r="W37" s="4">
        <v>3</v>
      </c>
      <c r="X37" s="256">
        <f>+W37*('Jerarq. Riesgos Plazo'!$M$65/100+1)</f>
        <v>3.0035861069946623</v>
      </c>
      <c r="Y37" s="29"/>
      <c r="Z37" s="4"/>
      <c r="AA37" s="30"/>
      <c r="AB37" s="29"/>
      <c r="AC37" s="4">
        <v>3</v>
      </c>
      <c r="AD37" s="256">
        <f>+AC37*('Jerarq. Riesgos Plazo'!$M$65/100+1)</f>
        <v>3.0035861069946623</v>
      </c>
      <c r="AE37" s="29"/>
      <c r="AF37" s="4"/>
      <c r="AG37" s="30"/>
    </row>
    <row r="38" spans="2:33" ht="18" x14ac:dyDescent="0.25">
      <c r="B38" s="110" t="s">
        <v>413</v>
      </c>
      <c r="C38" s="115" t="s">
        <v>642</v>
      </c>
      <c r="D38" s="112" t="s">
        <v>433</v>
      </c>
      <c r="E38" s="113" t="s">
        <v>416</v>
      </c>
      <c r="F38" s="113">
        <v>10.5</v>
      </c>
      <c r="G38" s="265">
        <v>2</v>
      </c>
      <c r="H38" s="114">
        <v>650000</v>
      </c>
      <c r="I38" s="129">
        <f t="shared" si="16"/>
        <v>6825000</v>
      </c>
      <c r="J38" s="343">
        <f>+K38-'Jerarq. Riesgos Plazo'!$K$77*'Aplicación proyecto JE'!K38</f>
        <v>1.8</v>
      </c>
      <c r="K38" s="4">
        <v>2</v>
      </c>
      <c r="L38" s="202">
        <f>+K38*('Jerarq. Riesgos Plazo'!$L$77+1)</f>
        <v>3.1661350927590211</v>
      </c>
      <c r="M38" s="64">
        <f>+N38*(-'Jerarq. Riesgos Costos'!$J$74+1)</f>
        <v>5460000</v>
      </c>
      <c r="N38" s="203">
        <f t="shared" si="18"/>
        <v>6825000</v>
      </c>
      <c r="O38" s="49">
        <f>+N38*('Jerarq. Riesgos Costos'!$K$74+1)</f>
        <v>9444029.8947451543</v>
      </c>
      <c r="P38" s="64">
        <f>+Q38-Q38*'Jerarq. Riesgos Plazo'!$Q$77</f>
        <v>1.8</v>
      </c>
      <c r="Q38" s="4">
        <f t="shared" si="13"/>
        <v>2</v>
      </c>
      <c r="R38" s="264">
        <f>+Q38+Q38*'Jerarq. Riesgos Plazo'!$R$77</f>
        <v>2.807171152337343</v>
      </c>
      <c r="S38" s="38">
        <f>+T38*(-'Jerarq. Riesgos Costos'!$P$74+1)</f>
        <v>5460000</v>
      </c>
      <c r="T38" s="203">
        <f t="shared" si="17"/>
        <v>6825000</v>
      </c>
      <c r="U38" s="34">
        <f>+T38*('Jerarq. Riesgos Costos'!$Q$74+1)</f>
        <v>9042869.5789806154</v>
      </c>
      <c r="V38" s="29"/>
      <c r="W38" s="4">
        <v>2</v>
      </c>
      <c r="X38" s="256">
        <f>+W38*('Jerarq. Riesgos Plazo'!$M$65/100+1)</f>
        <v>2.0023907379964414</v>
      </c>
      <c r="Y38" s="29"/>
      <c r="Z38" s="4"/>
      <c r="AA38" s="30"/>
      <c r="AB38" s="29"/>
      <c r="AC38" s="4">
        <v>2</v>
      </c>
      <c r="AD38" s="256">
        <f>+AC38*('Jerarq. Riesgos Plazo'!$M$65/100+1)</f>
        <v>2.0023907379964414</v>
      </c>
      <c r="AE38" s="29"/>
      <c r="AF38" s="4"/>
      <c r="AG38" s="30"/>
    </row>
    <row r="39" spans="2:33" ht="18" x14ac:dyDescent="0.25">
      <c r="B39" s="251" t="s">
        <v>450</v>
      </c>
      <c r="C39" s="251" t="s">
        <v>456</v>
      </c>
      <c r="D39" s="252" t="s">
        <v>449</v>
      </c>
      <c r="E39" s="253"/>
      <c r="F39" s="254"/>
      <c r="G39" s="261">
        <f>+SUM(G40:G48)</f>
        <v>8.3000000000000007</v>
      </c>
      <c r="H39" s="255"/>
      <c r="I39" s="256">
        <f t="shared" ref="I39:O39" si="19">+SUM(I40:I48)</f>
        <v>62823214.939990401</v>
      </c>
      <c r="J39" s="261">
        <f t="shared" si="19"/>
        <v>7.4700000000000015</v>
      </c>
      <c r="K39" s="261">
        <f t="shared" si="19"/>
        <v>8.3000000000000007</v>
      </c>
      <c r="L39" s="256">
        <f t="shared" si="19"/>
        <v>13.139460634949936</v>
      </c>
      <c r="M39" s="260">
        <f t="shared" si="19"/>
        <v>56540893.44599136</v>
      </c>
      <c r="N39" s="261">
        <f t="shared" si="19"/>
        <v>62823214.939990401</v>
      </c>
      <c r="O39" s="262">
        <f t="shared" si="19"/>
        <v>78449901.877206743</v>
      </c>
      <c r="P39" s="260">
        <f t="shared" ref="P39:U39" si="20">+SUM(P40:P48)</f>
        <v>7.4700000000000015</v>
      </c>
      <c r="Q39" s="261">
        <f t="shared" si="20"/>
        <v>8.3000000000000007</v>
      </c>
      <c r="R39" s="262">
        <f t="shared" si="20"/>
        <v>11.649760282199974</v>
      </c>
      <c r="S39" s="368">
        <f t="shared" si="20"/>
        <v>56540893.44599136</v>
      </c>
      <c r="T39" s="261">
        <f t="shared" si="20"/>
        <v>62823214.939990401</v>
      </c>
      <c r="U39" s="262">
        <f t="shared" si="20"/>
        <v>79469015.782662794</v>
      </c>
      <c r="V39" s="260">
        <v>7</v>
      </c>
      <c r="W39" s="261">
        <f>+SUM(W40:W48)</f>
        <v>8.3000000000000007</v>
      </c>
      <c r="X39" s="256">
        <f>+W39*('Jerarq. Riesgos Plazo'!$M$65/100+1)</f>
        <v>8.3099215626852327</v>
      </c>
      <c r="Y39" s="260"/>
      <c r="Z39" s="261"/>
      <c r="AA39" s="262"/>
      <c r="AB39" s="260">
        <v>7</v>
      </c>
      <c r="AC39" s="261">
        <f>+SUM(AC40:AC48)</f>
        <v>8.3000000000000007</v>
      </c>
      <c r="AD39" s="256">
        <f>+AC39*('Jerarq. Riesgos Plazo'!$M$65/100+1)</f>
        <v>8.3099215626852327</v>
      </c>
      <c r="AE39" s="260"/>
      <c r="AF39" s="261"/>
      <c r="AG39" s="262"/>
    </row>
    <row r="40" spans="2:33" ht="18" x14ac:dyDescent="0.25">
      <c r="B40" s="110" t="s">
        <v>450</v>
      </c>
      <c r="C40" s="115" t="s">
        <v>643</v>
      </c>
      <c r="D40" s="112" t="s">
        <v>452</v>
      </c>
      <c r="E40" s="113" t="s">
        <v>453</v>
      </c>
      <c r="F40" s="113">
        <v>1</v>
      </c>
      <c r="G40" s="265">
        <v>1</v>
      </c>
      <c r="H40" s="114">
        <v>5757534.4407105129</v>
      </c>
      <c r="I40" s="129">
        <f t="shared" ref="I40:I48" si="21">+F40*H40</f>
        <v>5757534.4407105129</v>
      </c>
      <c r="J40" s="343">
        <f>+K40-'Jerarq. Riesgos Plazo'!$K$77*'Aplicación proyecto JE'!K40</f>
        <v>0.9</v>
      </c>
      <c r="K40" s="4">
        <v>1</v>
      </c>
      <c r="L40" s="202">
        <f>+K40*('Jerarq. Riesgos Plazo'!$L$77+1)</f>
        <v>1.5830675463795105</v>
      </c>
      <c r="M40" s="64">
        <f>+N40*(-'Jerarq. Riesgos Costos'!$J$71+1)</f>
        <v>5181780.9966394622</v>
      </c>
      <c r="N40" s="203">
        <f t="shared" si="18"/>
        <v>5757534.4407105129</v>
      </c>
      <c r="O40" s="49">
        <f>+N40*('Jerarq. Riesgos Costos'!$K$71+1)</f>
        <v>7189667.2648769608</v>
      </c>
      <c r="P40" s="64">
        <f>+Q40-Q40*'Jerarq. Riesgos Plazo'!$Q$77</f>
        <v>0.9</v>
      </c>
      <c r="Q40" s="4">
        <f t="shared" si="13"/>
        <v>1</v>
      </c>
      <c r="R40" s="264">
        <f>+Q40+Q40*'Jerarq. Riesgos Plazo'!$R$77</f>
        <v>1.4035855761686715</v>
      </c>
      <c r="S40" s="38">
        <f>+T40*(-'Jerarq. Riesgos Costos'!$P$71+1)</f>
        <v>5181780.9966394622</v>
      </c>
      <c r="T40" s="203">
        <f t="shared" si="17"/>
        <v>5757534.4407105129</v>
      </c>
      <c r="U40" s="34">
        <f>+T40*('Jerarq. Riesgos Costos'!$Q$71+1)</f>
        <v>7283065.595657629</v>
      </c>
      <c r="V40" s="29"/>
      <c r="W40" s="4">
        <v>1</v>
      </c>
      <c r="X40" s="256">
        <f>+W40*('Jerarq. Riesgos Plazo'!$M$65/100+1)</f>
        <v>1.0011953689982207</v>
      </c>
      <c r="Y40" s="29"/>
      <c r="Z40" s="4"/>
      <c r="AA40" s="30"/>
      <c r="AB40" s="29"/>
      <c r="AC40" s="4">
        <v>1</v>
      </c>
      <c r="AD40" s="256">
        <f>+AC40*('Jerarq. Riesgos Plazo'!$M$65/100+1)</f>
        <v>1.0011953689982207</v>
      </c>
      <c r="AE40" s="29"/>
      <c r="AF40" s="4"/>
      <c r="AG40" s="30"/>
    </row>
    <row r="41" spans="2:33" ht="18" x14ac:dyDescent="0.25">
      <c r="B41" s="110" t="s">
        <v>450</v>
      </c>
      <c r="C41" s="115" t="s">
        <v>644</v>
      </c>
      <c r="D41" s="112" t="s">
        <v>455</v>
      </c>
      <c r="E41" s="113" t="s">
        <v>453</v>
      </c>
      <c r="F41" s="113">
        <v>2</v>
      </c>
      <c r="G41" s="265">
        <v>0.5</v>
      </c>
      <c r="H41" s="114">
        <v>5466788.3821411431</v>
      </c>
      <c r="I41" s="129">
        <f t="shared" si="21"/>
        <v>10933576.764282286</v>
      </c>
      <c r="J41" s="343">
        <f>+K41-'Jerarq. Riesgos Plazo'!$K$77*'Aplicación proyecto JE'!K41</f>
        <v>0.45</v>
      </c>
      <c r="K41" s="4">
        <v>0.5</v>
      </c>
      <c r="L41" s="202">
        <f>+K41*('Jerarq. Riesgos Plazo'!$L$77+1)</f>
        <v>0.79153377318975526</v>
      </c>
      <c r="M41" s="64">
        <f>+N41*(-'Jerarq. Riesgos Costos'!$J$71+1)</f>
        <v>9840219.0878540576</v>
      </c>
      <c r="N41" s="203">
        <f t="shared" si="18"/>
        <v>10933576.764282286</v>
      </c>
      <c r="O41" s="49">
        <f>+N41*('Jerarq. Riesgos Costos'!$K$71+1)</f>
        <v>13653201.688964441</v>
      </c>
      <c r="P41" s="64">
        <f>+Q41-Q41*'Jerarq. Riesgos Plazo'!$Q$77</f>
        <v>0.45</v>
      </c>
      <c r="Q41" s="4">
        <f t="shared" si="13"/>
        <v>0.5</v>
      </c>
      <c r="R41" s="264">
        <f>+Q41+Q41*'Jerarq. Riesgos Plazo'!$R$77</f>
        <v>0.70179278808433576</v>
      </c>
      <c r="S41" s="38">
        <f>+T41*(-'Jerarq. Riesgos Costos'!$P$71+1)</f>
        <v>9840219.0878540576</v>
      </c>
      <c r="T41" s="203">
        <f t="shared" si="17"/>
        <v>10933576.764282286</v>
      </c>
      <c r="U41" s="34">
        <f>+T41*('Jerarq. Riesgos Costos'!$Q$71+1)</f>
        <v>13830565.425084837</v>
      </c>
      <c r="V41" s="29"/>
      <c r="W41" s="4">
        <v>0.5</v>
      </c>
      <c r="X41" s="256">
        <f>+W41*('Jerarq. Riesgos Plazo'!$M$65/100+1)</f>
        <v>0.50059768449911035</v>
      </c>
      <c r="Y41" s="29"/>
      <c r="Z41" s="4"/>
      <c r="AA41" s="30"/>
      <c r="AB41" s="29"/>
      <c r="AC41" s="4">
        <v>0.5</v>
      </c>
      <c r="AD41" s="256">
        <f>+AC41*('Jerarq. Riesgos Plazo'!$M$65/100+1)</f>
        <v>0.50059768449911035</v>
      </c>
      <c r="AE41" s="29"/>
      <c r="AF41" s="4"/>
      <c r="AG41" s="30"/>
    </row>
    <row r="42" spans="2:33" ht="18" x14ac:dyDescent="0.25">
      <c r="B42" s="110" t="s">
        <v>450</v>
      </c>
      <c r="C42" s="115" t="s">
        <v>645</v>
      </c>
      <c r="D42" s="112" t="s">
        <v>457</v>
      </c>
      <c r="E42" s="113" t="s">
        <v>453</v>
      </c>
      <c r="F42" s="113">
        <v>2</v>
      </c>
      <c r="G42" s="265">
        <v>0.5</v>
      </c>
      <c r="H42" s="114">
        <v>4100000</v>
      </c>
      <c r="I42" s="129">
        <f t="shared" si="21"/>
        <v>8200000</v>
      </c>
      <c r="J42" s="343">
        <f>+K42-'Jerarq. Riesgos Plazo'!$K$77*'Aplicación proyecto JE'!K42</f>
        <v>0.45</v>
      </c>
      <c r="K42" s="4">
        <v>0.5</v>
      </c>
      <c r="L42" s="202">
        <f>+K42*('Jerarq. Riesgos Plazo'!$L$77+1)</f>
        <v>0.79153377318975526</v>
      </c>
      <c r="M42" s="64">
        <f>+N42*(-'Jerarq. Riesgos Costos'!$J$71+1)</f>
        <v>7380000</v>
      </c>
      <c r="N42" s="203">
        <f t="shared" si="18"/>
        <v>8200000</v>
      </c>
      <c r="O42" s="49">
        <f>+N42*('Jerarq. Riesgos Costos'!$K$71+1)</f>
        <v>10239673.280133372</v>
      </c>
      <c r="P42" s="64">
        <f>+Q42-Q42*'Jerarq. Riesgos Plazo'!$Q$77</f>
        <v>0.45</v>
      </c>
      <c r="Q42" s="4">
        <f t="shared" si="13"/>
        <v>0.5</v>
      </c>
      <c r="R42" s="264">
        <f>+Q42+Q42*'Jerarq. Riesgos Plazo'!$R$77</f>
        <v>0.70179278808433576</v>
      </c>
      <c r="S42" s="38">
        <f>+T42*(-'Jerarq. Riesgos Costos'!$P$71+1)</f>
        <v>7380000</v>
      </c>
      <c r="T42" s="203">
        <f t="shared" si="17"/>
        <v>8200000</v>
      </c>
      <c r="U42" s="34">
        <f>+T42*('Jerarq. Riesgos Costos'!$Q$71+1)</f>
        <v>10372693.120533487</v>
      </c>
      <c r="V42" s="29"/>
      <c r="W42" s="4">
        <v>0.5</v>
      </c>
      <c r="X42" s="256">
        <f>+W42*('Jerarq. Riesgos Plazo'!$M$65/100+1)</f>
        <v>0.50059768449911035</v>
      </c>
      <c r="Y42" s="29"/>
      <c r="Z42" s="4"/>
      <c r="AA42" s="30"/>
      <c r="AB42" s="29"/>
      <c r="AC42" s="4">
        <v>0.5</v>
      </c>
      <c r="AD42" s="256">
        <f>+AC42*('Jerarq. Riesgos Plazo'!$M$65/100+1)</f>
        <v>0.50059768449911035</v>
      </c>
      <c r="AE42" s="29"/>
      <c r="AF42" s="4"/>
      <c r="AG42" s="30"/>
    </row>
    <row r="43" spans="2:33" ht="18" x14ac:dyDescent="0.25">
      <c r="B43" s="110" t="s">
        <v>450</v>
      </c>
      <c r="C43" s="115" t="s">
        <v>646</v>
      </c>
      <c r="D43" s="112" t="s">
        <v>459</v>
      </c>
      <c r="E43" s="113" t="s">
        <v>453</v>
      </c>
      <c r="F43" s="113">
        <v>1</v>
      </c>
      <c r="G43" s="265">
        <v>0.3</v>
      </c>
      <c r="H43" s="114">
        <v>3150000</v>
      </c>
      <c r="I43" s="129">
        <f t="shared" si="21"/>
        <v>3150000</v>
      </c>
      <c r="J43" s="343">
        <f>+K43-'Jerarq. Riesgos Plazo'!$K$77*'Aplicación proyecto JE'!K43</f>
        <v>0.27</v>
      </c>
      <c r="K43" s="4">
        <v>0.3</v>
      </c>
      <c r="L43" s="202">
        <f>+K43*('Jerarq. Riesgos Plazo'!$L$77+1)</f>
        <v>0.47492026391385311</v>
      </c>
      <c r="M43" s="64">
        <f>+N43*(-'Jerarq. Riesgos Costos'!$J$71+1)</f>
        <v>2835000</v>
      </c>
      <c r="N43" s="203">
        <f t="shared" si="18"/>
        <v>3150000</v>
      </c>
      <c r="O43" s="49">
        <f>+N43*('Jerarq. Riesgos Costos'!$K$71+1)</f>
        <v>3933533.0283439173</v>
      </c>
      <c r="P43" s="64">
        <f>+Q43-Q43*'Jerarq. Riesgos Plazo'!$Q$77</f>
        <v>0.27</v>
      </c>
      <c r="Q43" s="4">
        <f t="shared" si="13"/>
        <v>0.3</v>
      </c>
      <c r="R43" s="264">
        <f>+Q43+Q43*'Jerarq. Riesgos Plazo'!$R$77</f>
        <v>0.42107567285060143</v>
      </c>
      <c r="S43" s="38">
        <f>+T43*(-'Jerarq. Riesgos Costos'!$P$71+1)</f>
        <v>2835000</v>
      </c>
      <c r="T43" s="203">
        <f t="shared" si="17"/>
        <v>3150000</v>
      </c>
      <c r="U43" s="34">
        <f>+T43*('Jerarq. Riesgos Costos'!$Q$71+1)</f>
        <v>3984632.1133756689</v>
      </c>
      <c r="V43" s="29"/>
      <c r="W43" s="4">
        <v>0.3</v>
      </c>
      <c r="X43" s="256">
        <f>+W43*('Jerarq. Riesgos Plazo'!$M$65/100+1)</f>
        <v>0.30035861069946618</v>
      </c>
      <c r="Y43" s="29"/>
      <c r="Z43" s="4"/>
      <c r="AA43" s="30"/>
      <c r="AB43" s="29"/>
      <c r="AC43" s="4">
        <v>0.3</v>
      </c>
      <c r="AD43" s="256">
        <f>+AC43*('Jerarq. Riesgos Plazo'!$M$65/100+1)</f>
        <v>0.30035861069946618</v>
      </c>
      <c r="AE43" s="29"/>
      <c r="AF43" s="4"/>
      <c r="AG43" s="30"/>
    </row>
    <row r="44" spans="2:33" ht="18" x14ac:dyDescent="0.25">
      <c r="B44" s="110" t="s">
        <v>450</v>
      </c>
      <c r="C44" s="115" t="s">
        <v>647</v>
      </c>
      <c r="D44" s="112" t="s">
        <v>461</v>
      </c>
      <c r="E44" s="113" t="s">
        <v>453</v>
      </c>
      <c r="F44" s="113">
        <v>1</v>
      </c>
      <c r="G44" s="265">
        <v>1</v>
      </c>
      <c r="H44" s="114">
        <v>1140000</v>
      </c>
      <c r="I44" s="129">
        <f t="shared" si="21"/>
        <v>1140000</v>
      </c>
      <c r="J44" s="343">
        <f>+K44-'Jerarq. Riesgos Plazo'!$K$77*'Aplicación proyecto JE'!K44</f>
        <v>0.9</v>
      </c>
      <c r="K44" s="4">
        <v>1</v>
      </c>
      <c r="L44" s="202">
        <f>+K44*('Jerarq. Riesgos Plazo'!$L$77+1)</f>
        <v>1.5830675463795105</v>
      </c>
      <c r="M44" s="64">
        <f>+N44*(-'Jerarq. Riesgos Costos'!$J$71+1)</f>
        <v>1026000</v>
      </c>
      <c r="N44" s="203">
        <f t="shared" si="18"/>
        <v>1140000</v>
      </c>
      <c r="O44" s="49">
        <f>+N44*('Jerarq. Riesgos Costos'!$K$71+1)</f>
        <v>1423564.3340673223</v>
      </c>
      <c r="P44" s="64">
        <f>+Q44-Q44*'Jerarq. Riesgos Plazo'!$Q$77</f>
        <v>0.9</v>
      </c>
      <c r="Q44" s="4">
        <f t="shared" si="13"/>
        <v>1</v>
      </c>
      <c r="R44" s="264">
        <f>+Q44+Q44*'Jerarq. Riesgos Plazo'!$R$77</f>
        <v>1.4035855761686715</v>
      </c>
      <c r="S44" s="38">
        <f>+T44*(-'Jerarq. Riesgos Costos'!$P$71+1)</f>
        <v>1026000</v>
      </c>
      <c r="T44" s="203">
        <f t="shared" si="17"/>
        <v>1140000</v>
      </c>
      <c r="U44" s="34">
        <f>+T44*('Jerarq. Riesgos Costos'!$Q$71+1)</f>
        <v>1442057.3362692897</v>
      </c>
      <c r="V44" s="29"/>
      <c r="W44" s="4">
        <v>1</v>
      </c>
      <c r="X44" s="256">
        <f>+W44*('Jerarq. Riesgos Plazo'!$M$65/100+1)</f>
        <v>1.0011953689982207</v>
      </c>
      <c r="Y44" s="29"/>
      <c r="Z44" s="4"/>
      <c r="AA44" s="30"/>
      <c r="AB44" s="29"/>
      <c r="AC44" s="4">
        <v>1</v>
      </c>
      <c r="AD44" s="256">
        <f>+AC44*('Jerarq. Riesgos Plazo'!$M$65/100+1)</f>
        <v>1.0011953689982207</v>
      </c>
      <c r="AE44" s="29"/>
      <c r="AF44" s="4"/>
      <c r="AG44" s="30"/>
    </row>
    <row r="45" spans="2:33" ht="18" x14ac:dyDescent="0.25">
      <c r="B45" s="110" t="s">
        <v>450</v>
      </c>
      <c r="C45" s="115" t="s">
        <v>648</v>
      </c>
      <c r="D45" s="112" t="s">
        <v>463</v>
      </c>
      <c r="E45" s="113" t="s">
        <v>453</v>
      </c>
      <c r="F45" s="113">
        <v>1</v>
      </c>
      <c r="G45" s="265">
        <v>2</v>
      </c>
      <c r="H45" s="114">
        <v>5563703.7349975994</v>
      </c>
      <c r="I45" s="129">
        <f t="shared" si="21"/>
        <v>5563703.7349975994</v>
      </c>
      <c r="J45" s="343">
        <f>+K45-'Jerarq. Riesgos Plazo'!$K$77*'Aplicación proyecto JE'!K45</f>
        <v>1.8</v>
      </c>
      <c r="K45" s="4">
        <v>2</v>
      </c>
      <c r="L45" s="202">
        <f>+K45*('Jerarq. Riesgos Plazo'!$L$77+1)</f>
        <v>3.1661350927590211</v>
      </c>
      <c r="M45" s="64">
        <f>+N45*(-'Jerarq. Riesgos Costos'!$J$71+1)</f>
        <v>5007333.3614978399</v>
      </c>
      <c r="N45" s="203">
        <f t="shared" si="18"/>
        <v>5563703.7349975994</v>
      </c>
      <c r="O45" s="49">
        <f>+N45*('Jerarq. Riesgos Costos'!$K$71+1)</f>
        <v>6947622.9846138004</v>
      </c>
      <c r="P45" s="64">
        <f>+Q45-Q45*'Jerarq. Riesgos Plazo'!$Q$77</f>
        <v>1.8</v>
      </c>
      <c r="Q45" s="4">
        <f t="shared" si="13"/>
        <v>2</v>
      </c>
      <c r="R45" s="264">
        <f>+Q45+Q45*'Jerarq. Riesgos Plazo'!$R$77</f>
        <v>2.807171152337343</v>
      </c>
      <c r="S45" s="38">
        <f>+T45*(-'Jerarq. Riesgos Costos'!$P$71+1)</f>
        <v>5007333.3614978399</v>
      </c>
      <c r="T45" s="203">
        <f t="shared" si="17"/>
        <v>5563703.7349975994</v>
      </c>
      <c r="U45" s="34">
        <f>+T45*('Jerarq. Riesgos Costos'!$Q$71+1)</f>
        <v>7037877.0069141546</v>
      </c>
      <c r="V45" s="29"/>
      <c r="W45" s="4">
        <v>2</v>
      </c>
      <c r="X45" s="256">
        <f>+W45*('Jerarq. Riesgos Plazo'!$M$65/100+1)</f>
        <v>2.0023907379964414</v>
      </c>
      <c r="Y45" s="29"/>
      <c r="Z45" s="4"/>
      <c r="AA45" s="30"/>
      <c r="AB45" s="29"/>
      <c r="AC45" s="4">
        <v>2</v>
      </c>
      <c r="AD45" s="256">
        <f>+AC45*('Jerarq. Riesgos Plazo'!$M$65/100+1)</f>
        <v>2.0023907379964414</v>
      </c>
      <c r="AE45" s="29"/>
      <c r="AF45" s="4"/>
      <c r="AG45" s="30"/>
    </row>
    <row r="46" spans="2:33" ht="18" x14ac:dyDescent="0.25">
      <c r="B46" s="110" t="s">
        <v>450</v>
      </c>
      <c r="C46" s="115" t="s">
        <v>649</v>
      </c>
      <c r="D46" s="112" t="s">
        <v>465</v>
      </c>
      <c r="E46" s="113" t="s">
        <v>411</v>
      </c>
      <c r="F46" s="113">
        <v>1</v>
      </c>
      <c r="G46" s="265">
        <v>1</v>
      </c>
      <c r="H46" s="114">
        <v>2500000</v>
      </c>
      <c r="I46" s="129">
        <f t="shared" si="21"/>
        <v>2500000</v>
      </c>
      <c r="J46" s="343">
        <f>+K46-'Jerarq. Riesgos Plazo'!$K$77*'Aplicación proyecto JE'!K46</f>
        <v>0.9</v>
      </c>
      <c r="K46" s="4">
        <v>1</v>
      </c>
      <c r="L46" s="202">
        <f>+K46*('Jerarq. Riesgos Plazo'!$L$77+1)</f>
        <v>1.5830675463795105</v>
      </c>
      <c r="M46" s="64">
        <f>+N46*(-'Jerarq. Riesgos Costos'!$J$71+1)</f>
        <v>2250000</v>
      </c>
      <c r="N46" s="203">
        <f t="shared" si="18"/>
        <v>2500000</v>
      </c>
      <c r="O46" s="49">
        <f>+N46*('Jerarq. Riesgos Costos'!$K$71+1)</f>
        <v>3121851.6097967597</v>
      </c>
      <c r="P46" s="64">
        <f>+Q46-Q46*'Jerarq. Riesgos Plazo'!$Q$77</f>
        <v>0.9</v>
      </c>
      <c r="Q46" s="4">
        <f t="shared" si="13"/>
        <v>1</v>
      </c>
      <c r="R46" s="264">
        <f>+Q46+Q46*'Jerarq. Riesgos Plazo'!$R$77</f>
        <v>1.4035855761686715</v>
      </c>
      <c r="S46" s="38">
        <f>+T46*(-'Jerarq. Riesgos Costos'!$P$71+1)</f>
        <v>2250000</v>
      </c>
      <c r="T46" s="203">
        <f t="shared" si="17"/>
        <v>2500000</v>
      </c>
      <c r="U46" s="34">
        <f>+T46*('Jerarq. Riesgos Costos'!$Q$71+1)</f>
        <v>3162406.4391870387</v>
      </c>
      <c r="V46" s="29"/>
      <c r="W46" s="4">
        <v>1</v>
      </c>
      <c r="X46" s="256">
        <f>+W46*('Jerarq. Riesgos Plazo'!$M$65/100+1)</f>
        <v>1.0011953689982207</v>
      </c>
      <c r="Y46" s="29"/>
      <c r="Z46" s="4"/>
      <c r="AA46" s="30"/>
      <c r="AB46" s="29"/>
      <c r="AC46" s="4">
        <v>1</v>
      </c>
      <c r="AD46" s="256">
        <f>+AC46*('Jerarq. Riesgos Plazo'!$M$65/100+1)</f>
        <v>1.0011953689982207</v>
      </c>
      <c r="AE46" s="29"/>
      <c r="AF46" s="4"/>
      <c r="AG46" s="30"/>
    </row>
    <row r="47" spans="2:33" ht="18" x14ac:dyDescent="0.25">
      <c r="B47" s="110" t="s">
        <v>450</v>
      </c>
      <c r="C47" s="115" t="s">
        <v>650</v>
      </c>
      <c r="D47" s="112" t="s">
        <v>467</v>
      </c>
      <c r="E47" s="113" t="s">
        <v>411</v>
      </c>
      <c r="F47" s="113">
        <v>1</v>
      </c>
      <c r="G47" s="265">
        <v>1</v>
      </c>
      <c r="H47" s="114">
        <v>4444000</v>
      </c>
      <c r="I47" s="129">
        <f t="shared" si="21"/>
        <v>4444000</v>
      </c>
      <c r="J47" s="343">
        <f>+K47-'Jerarq. Riesgos Plazo'!$K$77*'Aplicación proyecto JE'!K47</f>
        <v>0.9</v>
      </c>
      <c r="K47" s="4">
        <v>1</v>
      </c>
      <c r="L47" s="202">
        <f>+K47*('Jerarq. Riesgos Plazo'!$L$77+1)</f>
        <v>1.5830675463795105</v>
      </c>
      <c r="M47" s="64">
        <f>+N47*(-'Jerarq. Riesgos Costos'!$J$71+1)</f>
        <v>3999600</v>
      </c>
      <c r="N47" s="203">
        <f t="shared" si="18"/>
        <v>4444000</v>
      </c>
      <c r="O47" s="49">
        <f>+N47*('Jerarq. Riesgos Costos'!$K$71+1)</f>
        <v>5549403.4215747202</v>
      </c>
      <c r="P47" s="64">
        <f>+Q47-Q47*'Jerarq. Riesgos Plazo'!$Q$77</f>
        <v>0.9</v>
      </c>
      <c r="Q47" s="4">
        <f t="shared" si="13"/>
        <v>1</v>
      </c>
      <c r="R47" s="264">
        <f>+Q47+Q47*'Jerarq. Riesgos Plazo'!$R$77</f>
        <v>1.4035855761686715</v>
      </c>
      <c r="S47" s="38">
        <f>+T47*(-'Jerarq. Riesgos Costos'!$P$71+1)</f>
        <v>3999600</v>
      </c>
      <c r="T47" s="203">
        <f t="shared" si="17"/>
        <v>4444000</v>
      </c>
      <c r="U47" s="34">
        <f>+T47*('Jerarq. Riesgos Costos'!$Q$71+1)</f>
        <v>5621493.6862988798</v>
      </c>
      <c r="V47" s="29"/>
      <c r="W47" s="4">
        <v>1</v>
      </c>
      <c r="X47" s="256">
        <f>+W47*('Jerarq. Riesgos Plazo'!$M$65/100+1)</f>
        <v>1.0011953689982207</v>
      </c>
      <c r="Y47" s="29"/>
      <c r="Z47" s="4"/>
      <c r="AA47" s="30"/>
      <c r="AB47" s="29"/>
      <c r="AC47" s="4">
        <v>1</v>
      </c>
      <c r="AD47" s="256">
        <f>+AC47*('Jerarq. Riesgos Plazo'!$M$65/100+1)</f>
        <v>1.0011953689982207</v>
      </c>
      <c r="AE47" s="29"/>
      <c r="AF47" s="4"/>
      <c r="AG47" s="30"/>
    </row>
    <row r="48" spans="2:33" ht="18" x14ac:dyDescent="0.25">
      <c r="B48" s="110" t="s">
        <v>450</v>
      </c>
      <c r="C48" s="115" t="s">
        <v>691</v>
      </c>
      <c r="D48" s="112" t="s">
        <v>468</v>
      </c>
      <c r="E48" s="113" t="s">
        <v>411</v>
      </c>
      <c r="F48" s="113">
        <v>1</v>
      </c>
      <c r="G48" s="265">
        <v>1</v>
      </c>
      <c r="H48" s="114">
        <v>21134400</v>
      </c>
      <c r="I48" s="129">
        <f t="shared" si="21"/>
        <v>21134400</v>
      </c>
      <c r="J48" s="343">
        <f>+K48-'Jerarq. Riesgos Plazo'!$K$77*'Aplicación proyecto JE'!K48</f>
        <v>0.9</v>
      </c>
      <c r="K48" s="4">
        <v>1</v>
      </c>
      <c r="L48" s="202">
        <f>+K48*('Jerarq. Riesgos Plazo'!$L$77+1)</f>
        <v>1.5830675463795105</v>
      </c>
      <c r="M48" s="64">
        <f>+N48*(-'Jerarq. Riesgos Costos'!$J$71+1)</f>
        <v>19020960</v>
      </c>
      <c r="N48" s="203">
        <f t="shared" si="18"/>
        <v>21134400</v>
      </c>
      <c r="O48" s="49">
        <f>+N48*('Jerarq. Riesgos Costos'!$K$71+1)</f>
        <v>26391384.264835455</v>
      </c>
      <c r="P48" s="64">
        <f>+Q48-Q48*'Jerarq. Riesgos Plazo'!$Q$77</f>
        <v>0.9</v>
      </c>
      <c r="Q48" s="4">
        <f t="shared" si="13"/>
        <v>1</v>
      </c>
      <c r="R48" s="264">
        <f>+Q48+Q48*'Jerarq. Riesgos Plazo'!$R$77</f>
        <v>1.4035855761686715</v>
      </c>
      <c r="S48" s="38">
        <f>+T48*(-'Jerarq. Riesgos Costos'!$P$71+1)</f>
        <v>19020960</v>
      </c>
      <c r="T48" s="203">
        <f t="shared" si="17"/>
        <v>21134400</v>
      </c>
      <c r="U48" s="34">
        <f>+T48*('Jerarq. Riesgos Costos'!$Q$71+1)</f>
        <v>26734225.059341822</v>
      </c>
      <c r="V48" s="29"/>
      <c r="W48" s="4">
        <v>1</v>
      </c>
      <c r="X48" s="256">
        <f>+W48*('Jerarq. Riesgos Plazo'!$M$65/100+1)</f>
        <v>1.0011953689982207</v>
      </c>
      <c r="Y48" s="29"/>
      <c r="Z48" s="4"/>
      <c r="AA48" s="30"/>
      <c r="AB48" s="29"/>
      <c r="AC48" s="4">
        <v>1</v>
      </c>
      <c r="AD48" s="256">
        <f>+AC48*('Jerarq. Riesgos Plazo'!$M$65/100+1)</f>
        <v>1.0011953689982207</v>
      </c>
      <c r="AE48" s="29"/>
      <c r="AF48" s="4"/>
      <c r="AG48" s="30"/>
    </row>
    <row r="49" spans="2:33" ht="18" x14ac:dyDescent="0.25">
      <c r="B49" s="251" t="s">
        <v>470</v>
      </c>
      <c r="C49" s="251" t="s">
        <v>458</v>
      </c>
      <c r="D49" s="252" t="s">
        <v>469</v>
      </c>
      <c r="E49" s="253"/>
      <c r="F49" s="254"/>
      <c r="G49" s="261">
        <f>+SUM(G50:G79)</f>
        <v>18.7</v>
      </c>
      <c r="H49" s="255"/>
      <c r="I49" s="256">
        <f>+SUM(I50:I80)</f>
        <v>76633350</v>
      </c>
      <c r="J49" s="261">
        <f>+SUM(J50:J79)</f>
        <v>16.829999999999998</v>
      </c>
      <c r="K49" s="261">
        <f>+SUM(K50:K79)</f>
        <v>18.7</v>
      </c>
      <c r="L49" s="256">
        <f t="shared" ref="L49:U49" si="22">+SUM(L50:L80)</f>
        <v>29.761669871934796</v>
      </c>
      <c r="M49" s="260">
        <f t="shared" si="22"/>
        <v>61306680</v>
      </c>
      <c r="N49" s="261">
        <f t="shared" si="22"/>
        <v>76633350</v>
      </c>
      <c r="O49" s="262">
        <f t="shared" si="22"/>
        <v>106040681.0746474</v>
      </c>
      <c r="P49" s="260">
        <f t="shared" si="22"/>
        <v>16.919999999999998</v>
      </c>
      <c r="Q49" s="261">
        <f t="shared" si="22"/>
        <v>18.8</v>
      </c>
      <c r="R49" s="262">
        <f t="shared" si="22"/>
        <v>26.387408831971033</v>
      </c>
      <c r="S49" s="368">
        <f t="shared" si="22"/>
        <v>61306680</v>
      </c>
      <c r="T49" s="261">
        <f t="shared" si="22"/>
        <v>76633350</v>
      </c>
      <c r="U49" s="262">
        <f t="shared" si="22"/>
        <v>101536320.79858962</v>
      </c>
      <c r="V49" s="260">
        <v>15</v>
      </c>
      <c r="W49" s="261">
        <f>+SUM(W50:W79)</f>
        <v>18.7</v>
      </c>
      <c r="X49" s="256">
        <f>+W49*('Jerarq. Riesgos Plazo'!$M$65/100+1)</f>
        <v>18.722353400266726</v>
      </c>
      <c r="Y49" s="260"/>
      <c r="Z49" s="261"/>
      <c r="AA49" s="262"/>
      <c r="AB49" s="260">
        <v>15</v>
      </c>
      <c r="AC49" s="261">
        <f>+SUM(AC50:AC79)</f>
        <v>18.7</v>
      </c>
      <c r="AD49" s="256">
        <f>+AC49*('Jerarq. Riesgos Plazo'!$M$65/100+1)</f>
        <v>18.722353400266726</v>
      </c>
      <c r="AE49" s="260"/>
      <c r="AF49" s="261"/>
      <c r="AG49" s="262"/>
    </row>
    <row r="50" spans="2:33" ht="18" x14ac:dyDescent="0.25">
      <c r="B50" s="110" t="s">
        <v>470</v>
      </c>
      <c r="C50" s="115" t="s">
        <v>692</v>
      </c>
      <c r="D50" s="112" t="s">
        <v>471</v>
      </c>
      <c r="E50" s="113" t="s">
        <v>472</v>
      </c>
      <c r="F50" s="113">
        <v>1</v>
      </c>
      <c r="G50" s="265">
        <v>0.2</v>
      </c>
      <c r="H50" s="114">
        <v>56000</v>
      </c>
      <c r="I50" s="129">
        <f t="shared" ref="I50:I80" si="23">+F50*H50</f>
        <v>56000</v>
      </c>
      <c r="J50" s="343">
        <f>+K50-'Jerarq. Riesgos Plazo'!$K$77*'Aplicación proyecto JE'!K50</f>
        <v>0.18</v>
      </c>
      <c r="K50" s="4">
        <v>0.2</v>
      </c>
      <c r="L50" s="202">
        <f>+K50*('Jerarq. Riesgos Plazo'!$L$77+1)</f>
        <v>0.31661350927590215</v>
      </c>
      <c r="M50" s="64">
        <f>+N50*(-'Jerarq. Riesgos Costos'!$J$72+1)</f>
        <v>44800</v>
      </c>
      <c r="N50" s="203">
        <f t="shared" si="18"/>
        <v>56000</v>
      </c>
      <c r="O50" s="49">
        <f>+N50*('Jerarq. Riesgos Costos'!$K$72+1)</f>
        <v>77489.476059447421</v>
      </c>
      <c r="P50" s="64">
        <f>+Q50-Q50*'Jerarq. Riesgos Plazo'!$Q$77</f>
        <v>0.18</v>
      </c>
      <c r="Q50" s="4">
        <f t="shared" si="13"/>
        <v>0.2</v>
      </c>
      <c r="R50" s="264">
        <f>+Q50+Q50*'Jerarq. Riesgos Plazo'!$R$77</f>
        <v>0.28071711523373433</v>
      </c>
      <c r="S50" s="38">
        <f>+T50*(-'Jerarq. Riesgos Costos'!$P$72+1)</f>
        <v>44800</v>
      </c>
      <c r="T50" s="203">
        <f t="shared" si="17"/>
        <v>56000</v>
      </c>
      <c r="U50" s="34">
        <f>+T50*('Jerarq. Riesgos Costos'!$Q$72+1)</f>
        <v>74197.904237789655</v>
      </c>
      <c r="V50" s="29"/>
      <c r="W50" s="4">
        <v>0.2</v>
      </c>
      <c r="X50" s="256">
        <f>+W50*('Jerarq. Riesgos Plazo'!$M$65/100+1)</f>
        <v>0.20023907379964415</v>
      </c>
      <c r="Y50" s="29"/>
      <c r="Z50" s="4"/>
      <c r="AA50" s="30"/>
      <c r="AB50" s="29"/>
      <c r="AC50" s="4">
        <v>0.2</v>
      </c>
      <c r="AD50" s="256">
        <f>+AC50*('Jerarq. Riesgos Plazo'!$M$65/100+1)</f>
        <v>0.20023907379964415</v>
      </c>
      <c r="AE50" s="29"/>
      <c r="AF50" s="4"/>
      <c r="AG50" s="30"/>
    </row>
    <row r="51" spans="2:33" ht="18" x14ac:dyDescent="0.25">
      <c r="B51" s="110" t="s">
        <v>470</v>
      </c>
      <c r="C51" s="115" t="s">
        <v>693</v>
      </c>
      <c r="D51" s="112" t="s">
        <v>473</v>
      </c>
      <c r="E51" s="113" t="s">
        <v>472</v>
      </c>
      <c r="F51" s="113">
        <v>5</v>
      </c>
      <c r="G51" s="265">
        <v>0.3</v>
      </c>
      <c r="H51" s="114">
        <v>63000</v>
      </c>
      <c r="I51" s="129">
        <f t="shared" si="23"/>
        <v>315000</v>
      </c>
      <c r="J51" s="343">
        <f>+K51-'Jerarq. Riesgos Plazo'!$K$77*'Aplicación proyecto JE'!K51</f>
        <v>0.27</v>
      </c>
      <c r="K51" s="4">
        <v>0.3</v>
      </c>
      <c r="L51" s="202">
        <f>+K51*('Jerarq. Riesgos Plazo'!$L$77+1)</f>
        <v>0.47492026391385311</v>
      </c>
      <c r="M51" s="64">
        <f>+N51*(-'Jerarq. Riesgos Costos'!$J$72+1)</f>
        <v>252000</v>
      </c>
      <c r="N51" s="203">
        <f t="shared" si="18"/>
        <v>315000</v>
      </c>
      <c r="O51" s="49">
        <f>+N51*('Jerarq. Riesgos Costos'!$K$72+1)</f>
        <v>435878.30283439171</v>
      </c>
      <c r="P51" s="64">
        <f>+Q51-Q51*'Jerarq. Riesgos Plazo'!$Q$77</f>
        <v>0.27</v>
      </c>
      <c r="Q51" s="4">
        <f t="shared" si="13"/>
        <v>0.3</v>
      </c>
      <c r="R51" s="264">
        <f>+Q51+Q51*'Jerarq. Riesgos Plazo'!$R$77</f>
        <v>0.42107567285060143</v>
      </c>
      <c r="S51" s="38">
        <f>+T51*(-'Jerarq. Riesgos Costos'!$P$72+1)</f>
        <v>252000</v>
      </c>
      <c r="T51" s="203">
        <f t="shared" si="17"/>
        <v>315000</v>
      </c>
      <c r="U51" s="34">
        <f>+T51*('Jerarq. Riesgos Costos'!$Q$72+1)</f>
        <v>417363.21133756684</v>
      </c>
      <c r="V51" s="29"/>
      <c r="W51" s="4">
        <v>0.3</v>
      </c>
      <c r="X51" s="256">
        <f>+W51*('Jerarq. Riesgos Plazo'!$M$65/100+1)</f>
        <v>0.30035861069946618</v>
      </c>
      <c r="Y51" s="29"/>
      <c r="Z51" s="4"/>
      <c r="AA51" s="30"/>
      <c r="AB51" s="29"/>
      <c r="AC51" s="4">
        <v>0.3</v>
      </c>
      <c r="AD51" s="256">
        <f>+AC51*('Jerarq. Riesgos Plazo'!$M$65/100+1)</f>
        <v>0.30035861069946618</v>
      </c>
      <c r="AE51" s="29"/>
      <c r="AF51" s="4"/>
      <c r="AG51" s="30"/>
    </row>
    <row r="52" spans="2:33" ht="18" x14ac:dyDescent="0.25">
      <c r="B52" s="110" t="s">
        <v>470</v>
      </c>
      <c r="C52" s="115" t="s">
        <v>694</v>
      </c>
      <c r="D52" s="112" t="s">
        <v>474</v>
      </c>
      <c r="E52" s="113" t="s">
        <v>472</v>
      </c>
      <c r="F52" s="113">
        <v>258</v>
      </c>
      <c r="G52" s="265">
        <v>2</v>
      </c>
      <c r="H52" s="114">
        <v>77000</v>
      </c>
      <c r="I52" s="129">
        <f t="shared" si="23"/>
        <v>19866000</v>
      </c>
      <c r="J52" s="343">
        <f>+K52-'Jerarq. Riesgos Plazo'!$K$77*'Aplicación proyecto JE'!K52</f>
        <v>1.8</v>
      </c>
      <c r="K52" s="4">
        <v>2</v>
      </c>
      <c r="L52" s="202">
        <f>+K52*('Jerarq. Riesgos Plazo'!$L$77+1)</f>
        <v>3.1661350927590211</v>
      </c>
      <c r="M52" s="64">
        <f>+N52*(-'Jerarq. Riesgos Costos'!$J$72+1)</f>
        <v>15892800</v>
      </c>
      <c r="N52" s="203">
        <f t="shared" si="18"/>
        <v>19866000</v>
      </c>
      <c r="O52" s="49">
        <f>+N52*('Jerarq. Riesgos Costos'!$K$72+1)</f>
        <v>27489391.63208897</v>
      </c>
      <c r="P52" s="64">
        <f>+Q52-Q52*'Jerarq. Riesgos Plazo'!$Q$77</f>
        <v>1.8</v>
      </c>
      <c r="Q52" s="4">
        <f t="shared" si="13"/>
        <v>2</v>
      </c>
      <c r="R52" s="264">
        <f>+Q52+Q52*'Jerarq. Riesgos Plazo'!$R$77</f>
        <v>2.807171152337343</v>
      </c>
      <c r="S52" s="38">
        <f>+T52*(-'Jerarq. Riesgos Costos'!$P$72+1)</f>
        <v>15892800</v>
      </c>
      <c r="T52" s="203">
        <f t="shared" si="17"/>
        <v>19866000</v>
      </c>
      <c r="U52" s="34">
        <f>+T52*('Jerarq. Riesgos Costos'!$Q$72+1)</f>
        <v>26321706.528355882</v>
      </c>
      <c r="V52" s="29"/>
      <c r="W52" s="4">
        <v>2</v>
      </c>
      <c r="X52" s="256">
        <f>+W52*('Jerarq. Riesgos Plazo'!$M$65/100+1)</f>
        <v>2.0023907379964414</v>
      </c>
      <c r="Y52" s="29"/>
      <c r="Z52" s="4"/>
      <c r="AA52" s="30"/>
      <c r="AB52" s="29"/>
      <c r="AC52" s="4">
        <v>2</v>
      </c>
      <c r="AD52" s="256">
        <f>+AC52*('Jerarq. Riesgos Plazo'!$M$65/100+1)</f>
        <v>2.0023907379964414</v>
      </c>
      <c r="AE52" s="29"/>
      <c r="AF52" s="4"/>
      <c r="AG52" s="30"/>
    </row>
    <row r="53" spans="2:33" ht="18" x14ac:dyDescent="0.25">
      <c r="B53" s="110" t="s">
        <v>470</v>
      </c>
      <c r="C53" s="115" t="s">
        <v>695</v>
      </c>
      <c r="D53" s="112" t="s">
        <v>475</v>
      </c>
      <c r="E53" s="113" t="s">
        <v>472</v>
      </c>
      <c r="F53" s="113">
        <v>4</v>
      </c>
      <c r="G53" s="265">
        <v>0.2</v>
      </c>
      <c r="H53" s="114">
        <v>84000</v>
      </c>
      <c r="I53" s="129">
        <f t="shared" si="23"/>
        <v>336000</v>
      </c>
      <c r="J53" s="343">
        <f>+K53-'Jerarq. Riesgos Plazo'!$K$77*'Aplicación proyecto JE'!K53</f>
        <v>0.18</v>
      </c>
      <c r="K53" s="4">
        <v>0.2</v>
      </c>
      <c r="L53" s="202">
        <f>+K53*('Jerarq. Riesgos Plazo'!$L$77+1)</f>
        <v>0.31661350927590215</v>
      </c>
      <c r="M53" s="64">
        <f>+N53*(-'Jerarq. Riesgos Costos'!$J$72+1)</f>
        <v>268800</v>
      </c>
      <c r="N53" s="203">
        <f t="shared" si="18"/>
        <v>336000</v>
      </c>
      <c r="O53" s="49">
        <f>+N53*('Jerarq. Riesgos Costos'!$K$72+1)</f>
        <v>464936.85635668453</v>
      </c>
      <c r="P53" s="64">
        <f>+Q53-Q53*'Jerarq. Riesgos Plazo'!$Q$77</f>
        <v>0.18</v>
      </c>
      <c r="Q53" s="4">
        <f t="shared" si="13"/>
        <v>0.2</v>
      </c>
      <c r="R53" s="264">
        <f>+Q53+Q53*'Jerarq. Riesgos Plazo'!$R$77</f>
        <v>0.28071711523373433</v>
      </c>
      <c r="S53" s="38">
        <f>+T53*(-'Jerarq. Riesgos Costos'!$P$72+1)</f>
        <v>268800</v>
      </c>
      <c r="T53" s="203">
        <f t="shared" si="17"/>
        <v>336000</v>
      </c>
      <c r="U53" s="34">
        <f>+T53*('Jerarq. Riesgos Costos'!$Q$72+1)</f>
        <v>445187.42542673793</v>
      </c>
      <c r="V53" s="29"/>
      <c r="W53" s="4">
        <v>0.2</v>
      </c>
      <c r="X53" s="256">
        <f>+W53*('Jerarq. Riesgos Plazo'!$M$65/100+1)</f>
        <v>0.20023907379964415</v>
      </c>
      <c r="Y53" s="29"/>
      <c r="Z53" s="4"/>
      <c r="AA53" s="30"/>
      <c r="AB53" s="29"/>
      <c r="AC53" s="4">
        <v>0.2</v>
      </c>
      <c r="AD53" s="256">
        <f>+AC53*('Jerarq. Riesgos Plazo'!$M$65/100+1)</f>
        <v>0.20023907379964415</v>
      </c>
      <c r="AE53" s="29"/>
      <c r="AF53" s="4"/>
      <c r="AG53" s="30"/>
    </row>
    <row r="54" spans="2:33" ht="18" x14ac:dyDescent="0.25">
      <c r="B54" s="110" t="s">
        <v>470</v>
      </c>
      <c r="C54" s="115" t="s">
        <v>696</v>
      </c>
      <c r="D54" s="112" t="s">
        <v>476</v>
      </c>
      <c r="E54" s="113" t="s">
        <v>453</v>
      </c>
      <c r="F54" s="113">
        <v>12</v>
      </c>
      <c r="G54" s="265">
        <v>0.3</v>
      </c>
      <c r="H54" s="114">
        <v>75000</v>
      </c>
      <c r="I54" s="129">
        <f t="shared" si="23"/>
        <v>900000</v>
      </c>
      <c r="J54" s="343">
        <f>+K54-'Jerarq. Riesgos Plazo'!$K$77*'Aplicación proyecto JE'!K54</f>
        <v>0.27</v>
      </c>
      <c r="K54" s="4">
        <v>0.3</v>
      </c>
      <c r="L54" s="202">
        <f>+K54*('Jerarq. Riesgos Plazo'!$L$77+1)</f>
        <v>0.47492026391385311</v>
      </c>
      <c r="M54" s="64">
        <f>+N54*(-'Jerarq. Riesgos Costos'!$J$72+1)</f>
        <v>720000</v>
      </c>
      <c r="N54" s="203">
        <f t="shared" si="18"/>
        <v>900000</v>
      </c>
      <c r="O54" s="49">
        <f>+N54*('Jerarq. Riesgos Costos'!$K$72+1)</f>
        <v>1245366.5795268335</v>
      </c>
      <c r="P54" s="64">
        <f>+Q54-Q54*'Jerarq. Riesgos Plazo'!$Q$77</f>
        <v>0.27</v>
      </c>
      <c r="Q54" s="4">
        <f t="shared" si="13"/>
        <v>0.3</v>
      </c>
      <c r="R54" s="264">
        <f>+Q54+Q54*'Jerarq. Riesgos Plazo'!$R$77</f>
        <v>0.42107567285060143</v>
      </c>
      <c r="S54" s="38">
        <f>+T54*(-'Jerarq. Riesgos Costos'!$P$72+1)</f>
        <v>720000</v>
      </c>
      <c r="T54" s="203">
        <f t="shared" si="17"/>
        <v>900000</v>
      </c>
      <c r="U54" s="34">
        <f>+T54*('Jerarq. Riesgos Costos'!$Q$72+1)</f>
        <v>1192466.3181073337</v>
      </c>
      <c r="V54" s="29"/>
      <c r="W54" s="4">
        <v>0.3</v>
      </c>
      <c r="X54" s="256">
        <f>+W54*('Jerarq. Riesgos Plazo'!$M$65/100+1)</f>
        <v>0.30035861069946618</v>
      </c>
      <c r="Y54" s="29"/>
      <c r="Z54" s="4"/>
      <c r="AA54" s="30"/>
      <c r="AB54" s="29"/>
      <c r="AC54" s="4">
        <v>0.3</v>
      </c>
      <c r="AD54" s="256">
        <f>+AC54*('Jerarq. Riesgos Plazo'!$M$65/100+1)</f>
        <v>0.30035861069946618</v>
      </c>
      <c r="AE54" s="29"/>
      <c r="AF54" s="4"/>
      <c r="AG54" s="30"/>
    </row>
    <row r="55" spans="2:33" ht="18" x14ac:dyDescent="0.25">
      <c r="B55" s="110" t="s">
        <v>470</v>
      </c>
      <c r="C55" s="115" t="s">
        <v>697</v>
      </c>
      <c r="D55" s="112" t="s">
        <v>477</v>
      </c>
      <c r="E55" s="113" t="s">
        <v>453</v>
      </c>
      <c r="F55" s="113">
        <v>1</v>
      </c>
      <c r="G55" s="265">
        <v>0.3</v>
      </c>
      <c r="H55" s="114">
        <v>150000</v>
      </c>
      <c r="I55" s="129">
        <f t="shared" si="23"/>
        <v>150000</v>
      </c>
      <c r="J55" s="343">
        <f>+K55-'Jerarq. Riesgos Plazo'!$K$77*'Aplicación proyecto JE'!K55</f>
        <v>0.27</v>
      </c>
      <c r="K55" s="4">
        <v>0.3</v>
      </c>
      <c r="L55" s="202">
        <f>+K55*('Jerarq. Riesgos Plazo'!$L$77+1)</f>
        <v>0.47492026391385311</v>
      </c>
      <c r="M55" s="64">
        <f>+N55*(-'Jerarq. Riesgos Costos'!$J$72+1)</f>
        <v>120000</v>
      </c>
      <c r="N55" s="203">
        <f t="shared" si="18"/>
        <v>150000</v>
      </c>
      <c r="O55" s="49">
        <f>+N55*('Jerarq. Riesgos Costos'!$K$72+1)</f>
        <v>207561.09658780557</v>
      </c>
      <c r="P55" s="64">
        <f>+Q55-Q55*'Jerarq. Riesgos Plazo'!$Q$77</f>
        <v>0.27</v>
      </c>
      <c r="Q55" s="4">
        <f t="shared" si="13"/>
        <v>0.3</v>
      </c>
      <c r="R55" s="264">
        <f>+Q55+Q55*'Jerarq. Riesgos Plazo'!$R$77</f>
        <v>0.42107567285060143</v>
      </c>
      <c r="S55" s="38">
        <f>+T55*(-'Jerarq. Riesgos Costos'!$P$72+1)</f>
        <v>120000</v>
      </c>
      <c r="T55" s="203">
        <f t="shared" si="17"/>
        <v>150000</v>
      </c>
      <c r="U55" s="34">
        <f>+T55*('Jerarq. Riesgos Costos'!$Q$72+1)</f>
        <v>198744.38635122229</v>
      </c>
      <c r="V55" s="29"/>
      <c r="W55" s="4">
        <v>0.3</v>
      </c>
      <c r="X55" s="256">
        <f>+W55*('Jerarq. Riesgos Plazo'!$M$65/100+1)</f>
        <v>0.30035861069946618</v>
      </c>
      <c r="Y55" s="29"/>
      <c r="Z55" s="4"/>
      <c r="AA55" s="30"/>
      <c r="AB55" s="29"/>
      <c r="AC55" s="4">
        <v>0.3</v>
      </c>
      <c r="AD55" s="256">
        <f>+AC55*('Jerarq. Riesgos Plazo'!$M$65/100+1)</f>
        <v>0.30035861069946618</v>
      </c>
      <c r="AE55" s="29"/>
      <c r="AF55" s="4"/>
      <c r="AG55" s="30"/>
    </row>
    <row r="56" spans="2:33" ht="18" x14ac:dyDescent="0.25">
      <c r="B56" s="110" t="s">
        <v>470</v>
      </c>
      <c r="C56" s="115" t="s">
        <v>698</v>
      </c>
      <c r="D56" s="112" t="s">
        <v>478</v>
      </c>
      <c r="E56" s="113" t="s">
        <v>453</v>
      </c>
      <c r="F56" s="113">
        <v>5</v>
      </c>
      <c r="G56" s="265">
        <v>0.7</v>
      </c>
      <c r="H56" s="114">
        <v>432250</v>
      </c>
      <c r="I56" s="129">
        <f t="shared" si="23"/>
        <v>2161250</v>
      </c>
      <c r="J56" s="343">
        <f>+K56-'Jerarq. Riesgos Plazo'!$K$77*'Aplicación proyecto JE'!K56</f>
        <v>0.63</v>
      </c>
      <c r="K56" s="4">
        <v>0.7</v>
      </c>
      <c r="L56" s="202">
        <f>+K56*('Jerarq. Riesgos Plazo'!$L$77+1)</f>
        <v>1.1081472824656573</v>
      </c>
      <c r="M56" s="64">
        <f>+N56*(-'Jerarq. Riesgos Costos'!$J$72+1)</f>
        <v>1729000</v>
      </c>
      <c r="N56" s="203">
        <f t="shared" si="18"/>
        <v>2161250</v>
      </c>
      <c r="O56" s="49">
        <f>+N56*('Jerarq. Riesgos Costos'!$K$72+1)</f>
        <v>2990609.4666692987</v>
      </c>
      <c r="P56" s="64">
        <f>+Q56-Q56*'Jerarq. Riesgos Plazo'!$Q$77</f>
        <v>0.63</v>
      </c>
      <c r="Q56" s="4">
        <f t="shared" si="13"/>
        <v>0.7</v>
      </c>
      <c r="R56" s="264">
        <f>+Q56+Q56*'Jerarq. Riesgos Plazo'!$R$77</f>
        <v>0.98250990331806998</v>
      </c>
      <c r="S56" s="38">
        <f>+T56*(-'Jerarq. Riesgos Costos'!$P$72+1)</f>
        <v>1729000</v>
      </c>
      <c r="T56" s="203">
        <f t="shared" si="17"/>
        <v>2161250</v>
      </c>
      <c r="U56" s="34">
        <f>+T56*('Jerarq. Riesgos Costos'!$Q$72+1)</f>
        <v>2863575.3666771948</v>
      </c>
      <c r="V56" s="29"/>
      <c r="W56" s="4">
        <v>0.7</v>
      </c>
      <c r="X56" s="256">
        <f>+W56*('Jerarq. Riesgos Plazo'!$M$65/100+1)</f>
        <v>0.70083675829875447</v>
      </c>
      <c r="Y56" s="29"/>
      <c r="Z56" s="4"/>
      <c r="AA56" s="30"/>
      <c r="AB56" s="29"/>
      <c r="AC56" s="4">
        <v>0.7</v>
      </c>
      <c r="AD56" s="256">
        <f>+AC56*('Jerarq. Riesgos Plazo'!$M$65/100+1)</f>
        <v>0.70083675829875447</v>
      </c>
      <c r="AE56" s="29"/>
      <c r="AF56" s="4"/>
      <c r="AG56" s="30"/>
    </row>
    <row r="57" spans="2:33" ht="18" x14ac:dyDescent="0.25">
      <c r="B57" s="110" t="s">
        <v>470</v>
      </c>
      <c r="C57" s="115" t="s">
        <v>699</v>
      </c>
      <c r="D57" s="112" t="s">
        <v>658</v>
      </c>
      <c r="E57" s="113" t="s">
        <v>453</v>
      </c>
      <c r="F57" s="113">
        <v>1</v>
      </c>
      <c r="G57" s="265">
        <v>0.2</v>
      </c>
      <c r="H57" s="114">
        <v>300000</v>
      </c>
      <c r="I57" s="129">
        <f t="shared" si="23"/>
        <v>300000</v>
      </c>
      <c r="J57" s="343">
        <f>+K57-'Jerarq. Riesgos Plazo'!$K$77*'Aplicación proyecto JE'!K57</f>
        <v>0.18</v>
      </c>
      <c r="K57" s="4">
        <v>0.2</v>
      </c>
      <c r="L57" s="202">
        <f>+K57*('Jerarq. Riesgos Plazo'!$L$77+1)</f>
        <v>0.31661350927590215</v>
      </c>
      <c r="M57" s="64">
        <f>+N57*(-'Jerarq. Riesgos Costos'!$J$72+1)</f>
        <v>240000</v>
      </c>
      <c r="N57" s="203">
        <f t="shared" si="18"/>
        <v>300000</v>
      </c>
      <c r="O57" s="49">
        <f>+N57*('Jerarq. Riesgos Costos'!$K$72+1)</f>
        <v>415122.19317561114</v>
      </c>
      <c r="P57" s="64">
        <f>+Q57-Q57*'Jerarq. Riesgos Plazo'!$Q$77</f>
        <v>0.18</v>
      </c>
      <c r="Q57" s="4">
        <f t="shared" si="13"/>
        <v>0.2</v>
      </c>
      <c r="R57" s="264">
        <f>+Q57+Q57*'Jerarq. Riesgos Plazo'!$R$77</f>
        <v>0.28071711523373433</v>
      </c>
      <c r="S57" s="38">
        <f>+T57*(-'Jerarq. Riesgos Costos'!$P$72+1)</f>
        <v>240000</v>
      </c>
      <c r="T57" s="203">
        <f t="shared" si="17"/>
        <v>300000</v>
      </c>
      <c r="U57" s="34">
        <f>+T57*('Jerarq. Riesgos Costos'!$Q$72+1)</f>
        <v>397488.77270244458</v>
      </c>
      <c r="V57" s="29"/>
      <c r="W57" s="4">
        <v>0.2</v>
      </c>
      <c r="X57" s="256">
        <f>+W57*('Jerarq. Riesgos Plazo'!$M$65/100+1)</f>
        <v>0.20023907379964415</v>
      </c>
      <c r="Y57" s="29"/>
      <c r="Z57" s="4"/>
      <c r="AA57" s="30"/>
      <c r="AB57" s="29"/>
      <c r="AC57" s="4">
        <v>0.2</v>
      </c>
      <c r="AD57" s="256">
        <f>+AC57*('Jerarq. Riesgos Plazo'!$M$65/100+1)</f>
        <v>0.20023907379964415</v>
      </c>
      <c r="AE57" s="29"/>
      <c r="AF57" s="4"/>
      <c r="AG57" s="30"/>
    </row>
    <row r="58" spans="2:33" ht="18" x14ac:dyDescent="0.25">
      <c r="B58" s="110" t="s">
        <v>470</v>
      </c>
      <c r="C58" s="115" t="s">
        <v>700</v>
      </c>
      <c r="D58" s="112" t="s">
        <v>479</v>
      </c>
      <c r="E58" s="113" t="s">
        <v>453</v>
      </c>
      <c r="F58" s="113">
        <v>1</v>
      </c>
      <c r="G58" s="265">
        <v>0.4</v>
      </c>
      <c r="H58" s="114">
        <v>2600000</v>
      </c>
      <c r="I58" s="129">
        <f t="shared" si="23"/>
        <v>2600000</v>
      </c>
      <c r="J58" s="343">
        <f>+K58-'Jerarq. Riesgos Plazo'!$K$77*'Aplicación proyecto JE'!K58</f>
        <v>0.36</v>
      </c>
      <c r="K58" s="4">
        <v>0.4</v>
      </c>
      <c r="L58" s="202">
        <f>+K58*('Jerarq. Riesgos Plazo'!$L$77+1)</f>
        <v>0.6332270185518043</v>
      </c>
      <c r="M58" s="64">
        <f>+N58*(-'Jerarq. Riesgos Costos'!$J$72+1)</f>
        <v>2080000</v>
      </c>
      <c r="N58" s="203">
        <f t="shared" si="18"/>
        <v>2600000</v>
      </c>
      <c r="O58" s="49">
        <f>+N58*('Jerarq. Riesgos Costos'!$K$72+1)</f>
        <v>3597725.6741886302</v>
      </c>
      <c r="P58" s="64">
        <f>+Q58-Q58*'Jerarq. Riesgos Plazo'!$Q$77</f>
        <v>0.36</v>
      </c>
      <c r="Q58" s="4">
        <f t="shared" si="13"/>
        <v>0.4</v>
      </c>
      <c r="R58" s="264">
        <f>+Q58+Q58*'Jerarq. Riesgos Plazo'!$R$77</f>
        <v>0.56143423046746865</v>
      </c>
      <c r="S58" s="38">
        <f>+T58*(-'Jerarq. Riesgos Costos'!$P$72+1)</f>
        <v>2080000</v>
      </c>
      <c r="T58" s="203">
        <f t="shared" si="17"/>
        <v>2600000</v>
      </c>
      <c r="U58" s="34">
        <f>+T58*('Jerarq. Riesgos Costos'!$Q$72+1)</f>
        <v>3444902.6967545198</v>
      </c>
      <c r="V58" s="29"/>
      <c r="W58" s="4">
        <v>0.4</v>
      </c>
      <c r="X58" s="256">
        <f>+W58*('Jerarq. Riesgos Plazo'!$M$65/100+1)</f>
        <v>0.40047814759928829</v>
      </c>
      <c r="Y58" s="29"/>
      <c r="Z58" s="4"/>
      <c r="AA58" s="30"/>
      <c r="AB58" s="29"/>
      <c r="AC58" s="4">
        <v>0.4</v>
      </c>
      <c r="AD58" s="256">
        <f>+AC58*('Jerarq. Riesgos Plazo'!$M$65/100+1)</f>
        <v>0.40047814759928829</v>
      </c>
      <c r="AE58" s="29"/>
      <c r="AF58" s="4"/>
      <c r="AG58" s="30"/>
    </row>
    <row r="59" spans="2:33" ht="18" x14ac:dyDescent="0.25">
      <c r="B59" s="110" t="s">
        <v>470</v>
      </c>
      <c r="C59" s="115" t="s">
        <v>701</v>
      </c>
      <c r="D59" s="112" t="s">
        <v>480</v>
      </c>
      <c r="E59" s="113" t="s">
        <v>453</v>
      </c>
      <c r="F59" s="113">
        <v>1</v>
      </c>
      <c r="G59" s="265">
        <v>0.4</v>
      </c>
      <c r="H59" s="114">
        <v>7425000</v>
      </c>
      <c r="I59" s="129">
        <f t="shared" si="23"/>
        <v>7425000</v>
      </c>
      <c r="J59" s="343">
        <f>+K59-'Jerarq. Riesgos Plazo'!$K$77*'Aplicación proyecto JE'!K59</f>
        <v>0.36</v>
      </c>
      <c r="K59" s="4">
        <v>0.4</v>
      </c>
      <c r="L59" s="202">
        <f>+K59*('Jerarq. Riesgos Plazo'!$L$77+1)</f>
        <v>0.6332270185518043</v>
      </c>
      <c r="M59" s="64">
        <f>+N59*(-'Jerarq. Riesgos Costos'!$J$72+1)</f>
        <v>5940000</v>
      </c>
      <c r="N59" s="203">
        <f t="shared" si="18"/>
        <v>7425000</v>
      </c>
      <c r="O59" s="49">
        <f>+N59*('Jerarq. Riesgos Costos'!$K$72+1)</f>
        <v>10274274.281096376</v>
      </c>
      <c r="P59" s="64">
        <f>+Q59-Q59*'Jerarq. Riesgos Plazo'!$Q$77</f>
        <v>0.36</v>
      </c>
      <c r="Q59" s="4">
        <f t="shared" si="13"/>
        <v>0.4</v>
      </c>
      <c r="R59" s="264">
        <f>+Q59+Q59*'Jerarq. Riesgos Plazo'!$R$77</f>
        <v>0.56143423046746865</v>
      </c>
      <c r="S59" s="38">
        <f>+T59*(-'Jerarq. Riesgos Costos'!$P$72+1)</f>
        <v>5940000</v>
      </c>
      <c r="T59" s="203">
        <f t="shared" si="17"/>
        <v>7425000</v>
      </c>
      <c r="U59" s="34">
        <f>+T59*('Jerarq. Riesgos Costos'!$Q$72+1)</f>
        <v>9837847.1243855041</v>
      </c>
      <c r="V59" s="29"/>
      <c r="W59" s="4">
        <v>0.4</v>
      </c>
      <c r="X59" s="256">
        <f>+W59*('Jerarq. Riesgos Plazo'!$M$65/100+1)</f>
        <v>0.40047814759928829</v>
      </c>
      <c r="Y59" s="29"/>
      <c r="Z59" s="4"/>
      <c r="AA59" s="30"/>
      <c r="AB59" s="29"/>
      <c r="AC59" s="4">
        <v>0.4</v>
      </c>
      <c r="AD59" s="256">
        <f>+AC59*('Jerarq. Riesgos Plazo'!$M$65/100+1)</f>
        <v>0.40047814759928829</v>
      </c>
      <c r="AE59" s="29"/>
      <c r="AF59" s="4"/>
      <c r="AG59" s="30"/>
    </row>
    <row r="60" spans="2:33" ht="18" x14ac:dyDescent="0.25">
      <c r="B60" s="110" t="s">
        <v>470</v>
      </c>
      <c r="C60" s="115" t="s">
        <v>702</v>
      </c>
      <c r="D60" s="112" t="s">
        <v>481</v>
      </c>
      <c r="E60" s="113" t="s">
        <v>453</v>
      </c>
      <c r="F60" s="113">
        <v>34</v>
      </c>
      <c r="G60" s="265">
        <v>4</v>
      </c>
      <c r="H60" s="114">
        <v>122000</v>
      </c>
      <c r="I60" s="129">
        <f t="shared" si="23"/>
        <v>4148000</v>
      </c>
      <c r="J60" s="343">
        <f>+K60-'Jerarq. Riesgos Plazo'!$K$77*'Aplicación proyecto JE'!K60</f>
        <v>3.6</v>
      </c>
      <c r="K60" s="4">
        <v>4</v>
      </c>
      <c r="L60" s="202">
        <f>+K60*('Jerarq. Riesgos Plazo'!$L$77+1)</f>
        <v>6.3322701855180421</v>
      </c>
      <c r="M60" s="64">
        <f>+N60*(-'Jerarq. Riesgos Costos'!$J$72+1)</f>
        <v>3318400</v>
      </c>
      <c r="N60" s="203">
        <f t="shared" si="18"/>
        <v>4148000</v>
      </c>
      <c r="O60" s="49">
        <f>+N60*('Jerarq. Riesgos Costos'!$K$72+1)</f>
        <v>5739756.1909747841</v>
      </c>
      <c r="P60" s="64">
        <f>+Q60-Q60*'Jerarq. Riesgos Plazo'!$Q$77</f>
        <v>3.6</v>
      </c>
      <c r="Q60" s="4">
        <f t="shared" si="13"/>
        <v>4</v>
      </c>
      <c r="R60" s="264">
        <f>+Q60+Q60*'Jerarq. Riesgos Plazo'!$R$77</f>
        <v>5.6143423046746861</v>
      </c>
      <c r="S60" s="38">
        <f>+T60*(-'Jerarq. Riesgos Costos'!$P$72+1)</f>
        <v>3318400</v>
      </c>
      <c r="T60" s="203">
        <f t="shared" si="17"/>
        <v>4148000</v>
      </c>
      <c r="U60" s="34">
        <f>+T60*('Jerarq. Riesgos Costos'!$Q$72+1)</f>
        <v>5495944.7638991345</v>
      </c>
      <c r="V60" s="29"/>
      <c r="W60" s="4">
        <v>4</v>
      </c>
      <c r="X60" s="256">
        <f>+W60*('Jerarq. Riesgos Plazo'!$M$65/100+1)</f>
        <v>4.0047814759928828</v>
      </c>
      <c r="Y60" s="29"/>
      <c r="Z60" s="4"/>
      <c r="AA60" s="30"/>
      <c r="AB60" s="29"/>
      <c r="AC60" s="4">
        <v>4</v>
      </c>
      <c r="AD60" s="256">
        <f>+AC60*('Jerarq. Riesgos Plazo'!$M$65/100+1)</f>
        <v>4.0047814759928828</v>
      </c>
      <c r="AE60" s="29"/>
      <c r="AF60" s="4"/>
      <c r="AG60" s="30"/>
    </row>
    <row r="61" spans="2:33" ht="18" x14ac:dyDescent="0.25">
      <c r="B61" s="110" t="s">
        <v>470</v>
      </c>
      <c r="C61" s="115" t="s">
        <v>703</v>
      </c>
      <c r="D61" s="112" t="s">
        <v>659</v>
      </c>
      <c r="E61" s="113" t="s">
        <v>453</v>
      </c>
      <c r="F61" s="113">
        <v>2</v>
      </c>
      <c r="G61" s="265">
        <v>0.2</v>
      </c>
      <c r="H61" s="114">
        <v>115900</v>
      </c>
      <c r="I61" s="129">
        <f t="shared" si="23"/>
        <v>231800</v>
      </c>
      <c r="J61" s="343">
        <f>+K61-'Jerarq. Riesgos Plazo'!$K$77*'Aplicación proyecto JE'!K61</f>
        <v>0.18</v>
      </c>
      <c r="K61" s="4">
        <v>0.2</v>
      </c>
      <c r="L61" s="202">
        <f>+K61*('Jerarq. Riesgos Plazo'!$L$77+1)</f>
        <v>0.31661350927590215</v>
      </c>
      <c r="M61" s="64">
        <f>+N61*(-'Jerarq. Riesgos Costos'!$J$72+1)</f>
        <v>185440</v>
      </c>
      <c r="N61" s="203">
        <f t="shared" si="18"/>
        <v>231800</v>
      </c>
      <c r="O61" s="49">
        <f>+N61*('Jerarq. Riesgos Costos'!$K$72+1)</f>
        <v>320751.08126035554</v>
      </c>
      <c r="P61" s="64">
        <f>+Q61-Q61*'Jerarq. Riesgos Plazo'!$Q$77</f>
        <v>0.18</v>
      </c>
      <c r="Q61" s="4">
        <f t="shared" si="13"/>
        <v>0.2</v>
      </c>
      <c r="R61" s="264">
        <f>+Q61+Q61*'Jerarq. Riesgos Plazo'!$R$77</f>
        <v>0.28071711523373433</v>
      </c>
      <c r="S61" s="38">
        <f>+T61*(-'Jerarq. Riesgos Costos'!$P$72+1)</f>
        <v>185440</v>
      </c>
      <c r="T61" s="203">
        <f t="shared" si="17"/>
        <v>231800</v>
      </c>
      <c r="U61" s="34">
        <f>+T61*('Jerarq. Riesgos Costos'!$Q$72+1)</f>
        <v>307126.32504142221</v>
      </c>
      <c r="V61" s="29"/>
      <c r="W61" s="4">
        <v>0.2</v>
      </c>
      <c r="X61" s="256">
        <f>+W61*('Jerarq. Riesgos Plazo'!$M$65/100+1)</f>
        <v>0.20023907379964415</v>
      </c>
      <c r="Y61" s="29"/>
      <c r="Z61" s="4"/>
      <c r="AA61" s="30"/>
      <c r="AB61" s="29"/>
      <c r="AC61" s="4">
        <v>0.2</v>
      </c>
      <c r="AD61" s="256">
        <f>+AC61*('Jerarq. Riesgos Plazo'!$M$65/100+1)</f>
        <v>0.20023907379964415</v>
      </c>
      <c r="AE61" s="29"/>
      <c r="AF61" s="4"/>
      <c r="AG61" s="30"/>
    </row>
    <row r="62" spans="2:33" ht="18" x14ac:dyDescent="0.25">
      <c r="B62" s="110" t="s">
        <v>470</v>
      </c>
      <c r="C62" s="115" t="s">
        <v>704</v>
      </c>
      <c r="D62" s="112" t="s">
        <v>660</v>
      </c>
      <c r="E62" s="113" t="s">
        <v>453</v>
      </c>
      <c r="F62" s="113">
        <v>17</v>
      </c>
      <c r="G62" s="265">
        <v>0.1</v>
      </c>
      <c r="H62" s="114">
        <v>18300</v>
      </c>
      <c r="I62" s="129">
        <f t="shared" si="23"/>
        <v>311100</v>
      </c>
      <c r="J62" s="343">
        <f>+K62-'Jerarq. Riesgos Plazo'!$K$77*'Aplicación proyecto JE'!K62</f>
        <v>0.09</v>
      </c>
      <c r="K62" s="4">
        <v>0.1</v>
      </c>
      <c r="L62" s="202">
        <f>+K62*('Jerarq. Riesgos Plazo'!$L$77+1)</f>
        <v>0.15830675463795107</v>
      </c>
      <c r="M62" s="64">
        <f>+N62*(-'Jerarq. Riesgos Costos'!$J$72+1)</f>
        <v>248880</v>
      </c>
      <c r="N62" s="203">
        <f t="shared" si="18"/>
        <v>311100</v>
      </c>
      <c r="O62" s="49">
        <f>+N62*('Jerarq. Riesgos Costos'!$K$72+1)</f>
        <v>430481.71432310878</v>
      </c>
      <c r="P62" s="64">
        <f>+Q62-Q62*'Jerarq. Riesgos Plazo'!$Q$77</f>
        <v>0.09</v>
      </c>
      <c r="Q62" s="4">
        <f t="shared" si="13"/>
        <v>0.1</v>
      </c>
      <c r="R62" s="264">
        <f>+Q62+Q62*'Jerarq. Riesgos Plazo'!$R$77</f>
        <v>0.14035855761686716</v>
      </c>
      <c r="S62" s="38">
        <f>+T62*(-'Jerarq. Riesgos Costos'!$P$72+1)</f>
        <v>248880</v>
      </c>
      <c r="T62" s="203">
        <f t="shared" si="17"/>
        <v>311100</v>
      </c>
      <c r="U62" s="34">
        <f>+T62*('Jerarq. Riesgos Costos'!$Q$72+1)</f>
        <v>412195.85729243507</v>
      </c>
      <c r="V62" s="29"/>
      <c r="W62" s="4">
        <v>0.1</v>
      </c>
      <c r="X62" s="256">
        <f>+W62*('Jerarq. Riesgos Plazo'!$M$65/100+1)</f>
        <v>0.10011953689982207</v>
      </c>
      <c r="Y62" s="29"/>
      <c r="Z62" s="4"/>
      <c r="AA62" s="30"/>
      <c r="AB62" s="29"/>
      <c r="AC62" s="4">
        <v>0.1</v>
      </c>
      <c r="AD62" s="256">
        <f>+AC62*('Jerarq. Riesgos Plazo'!$M$65/100+1)</f>
        <v>0.10011953689982207</v>
      </c>
      <c r="AE62" s="29"/>
      <c r="AF62" s="4"/>
      <c r="AG62" s="30"/>
    </row>
    <row r="63" spans="2:33" ht="18" x14ac:dyDescent="0.25">
      <c r="B63" s="110" t="s">
        <v>470</v>
      </c>
      <c r="C63" s="115" t="s">
        <v>705</v>
      </c>
      <c r="D63" s="112" t="s">
        <v>482</v>
      </c>
      <c r="E63" s="113" t="s">
        <v>453</v>
      </c>
      <c r="F63" s="113">
        <v>51</v>
      </c>
      <c r="G63" s="265">
        <v>0.2</v>
      </c>
      <c r="H63" s="114">
        <v>18300</v>
      </c>
      <c r="I63" s="129">
        <f t="shared" si="23"/>
        <v>933300</v>
      </c>
      <c r="J63" s="343">
        <f>+K63-'Jerarq. Riesgos Plazo'!$K$77*'Aplicación proyecto JE'!K63</f>
        <v>0.18</v>
      </c>
      <c r="K63" s="4">
        <v>0.2</v>
      </c>
      <c r="L63" s="202">
        <f>+K63*('Jerarq. Riesgos Plazo'!$L$77+1)</f>
        <v>0.31661350927590215</v>
      </c>
      <c r="M63" s="64">
        <f>+N63*(-'Jerarq. Riesgos Costos'!$J$72+1)</f>
        <v>746640</v>
      </c>
      <c r="N63" s="203">
        <f t="shared" si="18"/>
        <v>933300</v>
      </c>
      <c r="O63" s="49">
        <f>+N63*('Jerarq. Riesgos Costos'!$K$72+1)</f>
        <v>1291445.1429693263</v>
      </c>
      <c r="P63" s="64">
        <f>+Q63-Q63*'Jerarq. Riesgos Plazo'!$Q$77</f>
        <v>0.18</v>
      </c>
      <c r="Q63" s="4">
        <f t="shared" si="13"/>
        <v>0.2</v>
      </c>
      <c r="R63" s="264">
        <f>+Q63+Q63*'Jerarq. Riesgos Plazo'!$R$77</f>
        <v>0.28071711523373433</v>
      </c>
      <c r="S63" s="38">
        <f>+T63*(-'Jerarq. Riesgos Costos'!$P$72+1)</f>
        <v>746640</v>
      </c>
      <c r="T63" s="203">
        <f t="shared" si="17"/>
        <v>933300</v>
      </c>
      <c r="U63" s="34">
        <f>+T63*('Jerarq. Riesgos Costos'!$Q$72+1)</f>
        <v>1236587.5718773052</v>
      </c>
      <c r="V63" s="29"/>
      <c r="W63" s="4">
        <v>0.2</v>
      </c>
      <c r="X63" s="256">
        <f>+W63*('Jerarq. Riesgos Plazo'!$M$65/100+1)</f>
        <v>0.20023907379964415</v>
      </c>
      <c r="Y63" s="29"/>
      <c r="Z63" s="4"/>
      <c r="AA63" s="30"/>
      <c r="AB63" s="29"/>
      <c r="AC63" s="4">
        <v>0.2</v>
      </c>
      <c r="AD63" s="256">
        <f>+AC63*('Jerarq. Riesgos Plazo'!$M$65/100+1)</f>
        <v>0.20023907379964415</v>
      </c>
      <c r="AE63" s="29"/>
      <c r="AF63" s="4"/>
      <c r="AG63" s="30"/>
    </row>
    <row r="64" spans="2:33" ht="18" x14ac:dyDescent="0.25">
      <c r="B64" s="110" t="s">
        <v>470</v>
      </c>
      <c r="C64" s="115" t="s">
        <v>706</v>
      </c>
      <c r="D64" s="112" t="s">
        <v>483</v>
      </c>
      <c r="E64" s="113" t="s">
        <v>453</v>
      </c>
      <c r="F64" s="113">
        <v>13</v>
      </c>
      <c r="G64" s="265">
        <v>0.3</v>
      </c>
      <c r="H64" s="114">
        <v>152500</v>
      </c>
      <c r="I64" s="129">
        <f t="shared" si="23"/>
        <v>1982500</v>
      </c>
      <c r="J64" s="343">
        <f>+K64-'Jerarq. Riesgos Plazo'!$K$77*'Aplicación proyecto JE'!K64</f>
        <v>0.27</v>
      </c>
      <c r="K64" s="4">
        <v>0.3</v>
      </c>
      <c r="L64" s="202">
        <f>+K64*('Jerarq. Riesgos Plazo'!$L$77+1)</f>
        <v>0.47492026391385311</v>
      </c>
      <c r="M64" s="64">
        <f>+N64*(-'Jerarq. Riesgos Costos'!$J$72+1)</f>
        <v>1586000</v>
      </c>
      <c r="N64" s="203">
        <f t="shared" si="18"/>
        <v>1982500</v>
      </c>
      <c r="O64" s="49">
        <f>+N64*('Jerarq. Riesgos Costos'!$K$72+1)</f>
        <v>2743265.8265688303</v>
      </c>
      <c r="P64" s="64">
        <f>+Q64-Q64*'Jerarq. Riesgos Plazo'!$Q$77</f>
        <v>0.27</v>
      </c>
      <c r="Q64" s="4">
        <f t="shared" si="13"/>
        <v>0.3</v>
      </c>
      <c r="R64" s="264">
        <f>+Q64+Q64*'Jerarq. Riesgos Plazo'!$R$77</f>
        <v>0.42107567285060143</v>
      </c>
      <c r="S64" s="38">
        <f>+T64*(-'Jerarq. Riesgos Costos'!$P$72+1)</f>
        <v>1586000</v>
      </c>
      <c r="T64" s="203">
        <f t="shared" si="17"/>
        <v>1982500</v>
      </c>
      <c r="U64" s="34">
        <f>+T64*('Jerarq. Riesgos Costos'!$Q$72+1)</f>
        <v>2626738.3062753216</v>
      </c>
      <c r="V64" s="29"/>
      <c r="W64" s="4">
        <v>0.3</v>
      </c>
      <c r="X64" s="256">
        <f>+W64*('Jerarq. Riesgos Plazo'!$M$65/100+1)</f>
        <v>0.30035861069946618</v>
      </c>
      <c r="Y64" s="29"/>
      <c r="Z64" s="4"/>
      <c r="AA64" s="30"/>
      <c r="AB64" s="29"/>
      <c r="AC64" s="4">
        <v>0.3</v>
      </c>
      <c r="AD64" s="256">
        <f>+AC64*('Jerarq. Riesgos Plazo'!$M$65/100+1)</f>
        <v>0.30035861069946618</v>
      </c>
      <c r="AE64" s="29"/>
      <c r="AF64" s="4"/>
      <c r="AG64" s="30"/>
    </row>
    <row r="65" spans="2:33" ht="18" x14ac:dyDescent="0.25">
      <c r="B65" s="110" t="s">
        <v>470</v>
      </c>
      <c r="C65" s="115" t="s">
        <v>707</v>
      </c>
      <c r="D65" s="112" t="s">
        <v>484</v>
      </c>
      <c r="E65" s="113" t="s">
        <v>453</v>
      </c>
      <c r="F65" s="113">
        <v>68</v>
      </c>
      <c r="G65" s="265">
        <v>0.5</v>
      </c>
      <c r="H65" s="114">
        <v>15250</v>
      </c>
      <c r="I65" s="129">
        <f t="shared" si="23"/>
        <v>1037000</v>
      </c>
      <c r="J65" s="343">
        <f>+K65-'Jerarq. Riesgos Plazo'!$K$77*'Aplicación proyecto JE'!K65</f>
        <v>0.45</v>
      </c>
      <c r="K65" s="4">
        <v>0.5</v>
      </c>
      <c r="L65" s="202">
        <f>+K65*('Jerarq. Riesgos Plazo'!$L$77+1)</f>
        <v>0.79153377318975526</v>
      </c>
      <c r="M65" s="64">
        <f>+N65*(-'Jerarq. Riesgos Costos'!$J$72+1)</f>
        <v>829600</v>
      </c>
      <c r="N65" s="203">
        <f t="shared" si="18"/>
        <v>1037000</v>
      </c>
      <c r="O65" s="49">
        <f>+N65*('Jerarq. Riesgos Costos'!$K$72+1)</f>
        <v>1434939.047743696</v>
      </c>
      <c r="P65" s="64">
        <f>+Q65-Q65*'Jerarq. Riesgos Plazo'!$Q$77</f>
        <v>0.45</v>
      </c>
      <c r="Q65" s="4">
        <f t="shared" si="13"/>
        <v>0.5</v>
      </c>
      <c r="R65" s="264">
        <f>+Q65+Q65*'Jerarq. Riesgos Plazo'!$R$77</f>
        <v>0.70179278808433576</v>
      </c>
      <c r="S65" s="38">
        <f>+T65*(-'Jerarq. Riesgos Costos'!$P$72+1)</f>
        <v>829600</v>
      </c>
      <c r="T65" s="203">
        <f t="shared" si="17"/>
        <v>1037000</v>
      </c>
      <c r="U65" s="34">
        <f>+T65*('Jerarq. Riesgos Costos'!$Q$72+1)</f>
        <v>1373986.1909747836</v>
      </c>
      <c r="V65" s="29"/>
      <c r="W65" s="4">
        <v>0.5</v>
      </c>
      <c r="X65" s="256">
        <f>+W65*('Jerarq. Riesgos Plazo'!$M$65/100+1)</f>
        <v>0.50059768449911035</v>
      </c>
      <c r="Y65" s="29"/>
      <c r="Z65" s="4"/>
      <c r="AA65" s="30"/>
      <c r="AB65" s="29"/>
      <c r="AC65" s="4">
        <v>0.5</v>
      </c>
      <c r="AD65" s="256">
        <f>+AC65*('Jerarq. Riesgos Plazo'!$M$65/100+1)</f>
        <v>0.50059768449911035</v>
      </c>
      <c r="AE65" s="29"/>
      <c r="AF65" s="4"/>
      <c r="AG65" s="30"/>
    </row>
    <row r="66" spans="2:33" ht="18" x14ac:dyDescent="0.25">
      <c r="B66" s="110" t="s">
        <v>470</v>
      </c>
      <c r="C66" s="115" t="s">
        <v>708</v>
      </c>
      <c r="D66" s="112" t="s">
        <v>661</v>
      </c>
      <c r="E66" s="113" t="s">
        <v>453</v>
      </c>
      <c r="F66" s="113">
        <v>4</v>
      </c>
      <c r="G66" s="265">
        <v>2</v>
      </c>
      <c r="H66" s="114">
        <v>115900</v>
      </c>
      <c r="I66" s="129">
        <f t="shared" si="23"/>
        <v>463600</v>
      </c>
      <c r="J66" s="343">
        <f>+K66-'Jerarq. Riesgos Plazo'!$K$77*'Aplicación proyecto JE'!K66</f>
        <v>1.8</v>
      </c>
      <c r="K66" s="4">
        <v>2</v>
      </c>
      <c r="L66" s="202">
        <f>+K66*('Jerarq. Riesgos Plazo'!$L$77+1)</f>
        <v>3.1661350927590211</v>
      </c>
      <c r="M66" s="64">
        <f>+N66*(-'Jerarq. Riesgos Costos'!$J$72+1)</f>
        <v>370880</v>
      </c>
      <c r="N66" s="203">
        <f t="shared" si="18"/>
        <v>463600</v>
      </c>
      <c r="O66" s="49">
        <f>+N66*('Jerarq. Riesgos Costos'!$K$72+1)</f>
        <v>641502.16252071108</v>
      </c>
      <c r="P66" s="64">
        <f>+Q66-Q66*'Jerarq. Riesgos Plazo'!$Q$77</f>
        <v>1.8</v>
      </c>
      <c r="Q66" s="4">
        <f t="shared" si="13"/>
        <v>2</v>
      </c>
      <c r="R66" s="264">
        <f>+Q66+Q66*'Jerarq. Riesgos Plazo'!$R$77</f>
        <v>2.807171152337343</v>
      </c>
      <c r="S66" s="38">
        <f>+T66*(-'Jerarq. Riesgos Costos'!$P$72+1)</f>
        <v>370880</v>
      </c>
      <c r="T66" s="203">
        <f t="shared" si="17"/>
        <v>463600</v>
      </c>
      <c r="U66" s="34">
        <f>+T66*('Jerarq. Riesgos Costos'!$Q$72+1)</f>
        <v>614252.65008284443</v>
      </c>
      <c r="V66" s="29"/>
      <c r="W66" s="4">
        <v>2</v>
      </c>
      <c r="X66" s="256">
        <f>+W66*('Jerarq. Riesgos Plazo'!$M$65/100+1)</f>
        <v>2.0023907379964414</v>
      </c>
      <c r="Y66" s="29"/>
      <c r="Z66" s="4"/>
      <c r="AA66" s="30"/>
      <c r="AB66" s="29"/>
      <c r="AC66" s="4">
        <v>2</v>
      </c>
      <c r="AD66" s="256">
        <f>+AC66*('Jerarq. Riesgos Plazo'!$M$65/100+1)</f>
        <v>2.0023907379964414</v>
      </c>
      <c r="AE66" s="29"/>
      <c r="AF66" s="4"/>
      <c r="AG66" s="30"/>
    </row>
    <row r="67" spans="2:33" ht="18" x14ac:dyDescent="0.25">
      <c r="B67" s="110" t="s">
        <v>470</v>
      </c>
      <c r="C67" s="115" t="s">
        <v>709</v>
      </c>
      <c r="D67" s="112" t="s">
        <v>485</v>
      </c>
      <c r="E67" s="113" t="s">
        <v>472</v>
      </c>
      <c r="F67" s="113">
        <v>264</v>
      </c>
      <c r="G67" s="265">
        <v>2</v>
      </c>
      <c r="H67" s="114">
        <v>105000</v>
      </c>
      <c r="I67" s="129">
        <f t="shared" si="23"/>
        <v>27720000</v>
      </c>
      <c r="J67" s="343">
        <f>+K67-'Jerarq. Riesgos Plazo'!$K$77*'Aplicación proyecto JE'!K67</f>
        <v>1.8</v>
      </c>
      <c r="K67" s="4">
        <v>2</v>
      </c>
      <c r="L67" s="202">
        <f>+K67*('Jerarq. Riesgos Plazo'!$L$77+1)</f>
        <v>3.1661350927590211</v>
      </c>
      <c r="M67" s="64">
        <f>+N67*(-'Jerarq. Riesgos Costos'!$J$72+1)</f>
        <v>22176000</v>
      </c>
      <c r="N67" s="203">
        <f t="shared" si="18"/>
        <v>27720000</v>
      </c>
      <c r="O67" s="49">
        <f>+N67*('Jerarq. Riesgos Costos'!$K$72+1)</f>
        <v>38357290.649426475</v>
      </c>
      <c r="P67" s="64">
        <f>+Q67-Q67*'Jerarq. Riesgos Plazo'!$Q$77</f>
        <v>1.8</v>
      </c>
      <c r="Q67" s="4">
        <f t="shared" si="13"/>
        <v>2</v>
      </c>
      <c r="R67" s="264">
        <f>+Q67+Q67*'Jerarq. Riesgos Plazo'!$R$77</f>
        <v>2.807171152337343</v>
      </c>
      <c r="S67" s="38">
        <f>+T67*(-'Jerarq. Riesgos Costos'!$P$72+1)</f>
        <v>22176000</v>
      </c>
      <c r="T67" s="203">
        <f t="shared" si="17"/>
        <v>27720000</v>
      </c>
      <c r="U67" s="34">
        <f>+T67*('Jerarq. Riesgos Costos'!$Q$72+1)</f>
        <v>36727962.597705878</v>
      </c>
      <c r="V67" s="29"/>
      <c r="W67" s="4">
        <v>2</v>
      </c>
      <c r="X67" s="256">
        <f>+W67*('Jerarq. Riesgos Plazo'!$M$65/100+1)</f>
        <v>2.0023907379964414</v>
      </c>
      <c r="Y67" s="29"/>
      <c r="Z67" s="4"/>
      <c r="AA67" s="30"/>
      <c r="AB67" s="29"/>
      <c r="AC67" s="4">
        <v>2</v>
      </c>
      <c r="AD67" s="256">
        <f>+AC67*('Jerarq. Riesgos Plazo'!$M$65/100+1)</f>
        <v>2.0023907379964414</v>
      </c>
      <c r="AE67" s="29"/>
      <c r="AF67" s="4"/>
      <c r="AG67" s="30"/>
    </row>
    <row r="68" spans="2:33" ht="18" x14ac:dyDescent="0.25">
      <c r="B68" s="110" t="s">
        <v>470</v>
      </c>
      <c r="C68" s="115" t="s">
        <v>710</v>
      </c>
      <c r="D68" s="112" t="s">
        <v>486</v>
      </c>
      <c r="E68" s="113" t="s">
        <v>411</v>
      </c>
      <c r="F68" s="113">
        <v>1</v>
      </c>
      <c r="G68" s="265">
        <v>0.2</v>
      </c>
      <c r="H68" s="114">
        <v>1350000</v>
      </c>
      <c r="I68" s="129">
        <f t="shared" si="23"/>
        <v>1350000</v>
      </c>
      <c r="J68" s="343">
        <f>+K68-'Jerarq. Riesgos Plazo'!$K$77*'Aplicación proyecto JE'!K68</f>
        <v>0.18</v>
      </c>
      <c r="K68" s="4">
        <v>0.2</v>
      </c>
      <c r="L68" s="202">
        <f>+K68*('Jerarq. Riesgos Plazo'!$L$77+1)</f>
        <v>0.31661350927590215</v>
      </c>
      <c r="M68" s="64">
        <f>+N68*(-'Jerarq. Riesgos Costos'!$J$72+1)</f>
        <v>1080000</v>
      </c>
      <c r="N68" s="203">
        <f t="shared" si="18"/>
        <v>1350000</v>
      </c>
      <c r="O68" s="49">
        <f>+N68*('Jerarq. Riesgos Costos'!$K$72+1)</f>
        <v>1868049.8692902504</v>
      </c>
      <c r="P68" s="64">
        <f>+Q68-Q68*'Jerarq. Riesgos Plazo'!$Q$77</f>
        <v>0.18</v>
      </c>
      <c r="Q68" s="4">
        <f t="shared" si="13"/>
        <v>0.2</v>
      </c>
      <c r="R68" s="264">
        <f>+Q68+Q68*'Jerarq. Riesgos Plazo'!$R$77</f>
        <v>0.28071711523373433</v>
      </c>
      <c r="S68" s="38">
        <f>+T68*(-'Jerarq. Riesgos Costos'!$P$72+1)</f>
        <v>1080000</v>
      </c>
      <c r="T68" s="203">
        <f t="shared" si="17"/>
        <v>1350000</v>
      </c>
      <c r="U68" s="34">
        <f>+T68*('Jerarq. Riesgos Costos'!$Q$72+1)</f>
        <v>1788699.4771610007</v>
      </c>
      <c r="V68" s="29"/>
      <c r="W68" s="4">
        <v>0.2</v>
      </c>
      <c r="X68" s="256">
        <f>+W68*('Jerarq. Riesgos Plazo'!$M$65/100+1)</f>
        <v>0.20023907379964415</v>
      </c>
      <c r="Y68" s="29"/>
      <c r="Z68" s="4"/>
      <c r="AA68" s="30"/>
      <c r="AB68" s="29"/>
      <c r="AC68" s="4">
        <v>0.2</v>
      </c>
      <c r="AD68" s="256">
        <f>+AC68*('Jerarq. Riesgos Plazo'!$M$65/100+1)</f>
        <v>0.20023907379964415</v>
      </c>
      <c r="AE68" s="29"/>
      <c r="AF68" s="4"/>
      <c r="AG68" s="30"/>
    </row>
    <row r="69" spans="2:33" ht="18" x14ac:dyDescent="0.25">
      <c r="B69" s="110" t="s">
        <v>470</v>
      </c>
      <c r="C69" s="115" t="s">
        <v>711</v>
      </c>
      <c r="D69" s="112" t="s">
        <v>487</v>
      </c>
      <c r="E69" s="113" t="s">
        <v>453</v>
      </c>
      <c r="F69" s="113">
        <v>16</v>
      </c>
      <c r="G69" s="265">
        <v>0.2</v>
      </c>
      <c r="H69" s="114">
        <v>22500</v>
      </c>
      <c r="I69" s="129">
        <f t="shared" si="23"/>
        <v>360000</v>
      </c>
      <c r="J69" s="343">
        <f>+K69-'Jerarq. Riesgos Plazo'!$K$77*'Aplicación proyecto JE'!K69</f>
        <v>0.18</v>
      </c>
      <c r="K69" s="4">
        <v>0.2</v>
      </c>
      <c r="L69" s="202">
        <f>+K69*('Jerarq. Riesgos Plazo'!$L$77+1)</f>
        <v>0.31661350927590215</v>
      </c>
      <c r="M69" s="64">
        <f>+N69*(-'Jerarq. Riesgos Costos'!$J$72+1)</f>
        <v>288000</v>
      </c>
      <c r="N69" s="203">
        <f t="shared" si="18"/>
        <v>360000</v>
      </c>
      <c r="O69" s="49">
        <f>+N69*('Jerarq. Riesgos Costos'!$K$72+1)</f>
        <v>498146.63181073341</v>
      </c>
      <c r="P69" s="64">
        <f>+Q69-Q69*'Jerarq. Riesgos Plazo'!$Q$77</f>
        <v>0.18</v>
      </c>
      <c r="Q69" s="4">
        <f t="shared" si="13"/>
        <v>0.2</v>
      </c>
      <c r="R69" s="264">
        <f>+Q69+Q69*'Jerarq. Riesgos Plazo'!$R$77</f>
        <v>0.28071711523373433</v>
      </c>
      <c r="S69" s="38">
        <f>+T69*(-'Jerarq. Riesgos Costos'!$P$72+1)</f>
        <v>288000</v>
      </c>
      <c r="T69" s="203">
        <f t="shared" si="17"/>
        <v>360000</v>
      </c>
      <c r="U69" s="34">
        <f>+T69*('Jerarq. Riesgos Costos'!$Q$72+1)</f>
        <v>476986.52724293352</v>
      </c>
      <c r="V69" s="29"/>
      <c r="W69" s="4">
        <v>0.2</v>
      </c>
      <c r="X69" s="256">
        <f>+W69*('Jerarq. Riesgos Plazo'!$M$65/100+1)</f>
        <v>0.20023907379964415</v>
      </c>
      <c r="Y69" s="29"/>
      <c r="Z69" s="4"/>
      <c r="AA69" s="30"/>
      <c r="AB69" s="29"/>
      <c r="AC69" s="4">
        <v>0.2</v>
      </c>
      <c r="AD69" s="256">
        <f>+AC69*('Jerarq. Riesgos Plazo'!$M$65/100+1)</f>
        <v>0.20023907379964415</v>
      </c>
      <c r="AE69" s="29"/>
      <c r="AF69" s="4"/>
      <c r="AG69" s="30"/>
    </row>
    <row r="70" spans="2:33" ht="18" x14ac:dyDescent="0.25">
      <c r="B70" s="110" t="s">
        <v>470</v>
      </c>
      <c r="C70" s="115" t="s">
        <v>712</v>
      </c>
      <c r="D70" s="112" t="s">
        <v>488</v>
      </c>
      <c r="E70" s="113" t="s">
        <v>453</v>
      </c>
      <c r="F70" s="113">
        <v>4</v>
      </c>
      <c r="G70" s="265">
        <v>0.1</v>
      </c>
      <c r="H70" s="114">
        <v>75000</v>
      </c>
      <c r="I70" s="129">
        <f t="shared" si="23"/>
        <v>300000</v>
      </c>
      <c r="J70" s="343">
        <f>+K70-'Jerarq. Riesgos Plazo'!$K$77*'Aplicación proyecto JE'!K70</f>
        <v>0.09</v>
      </c>
      <c r="K70" s="4">
        <v>0.1</v>
      </c>
      <c r="L70" s="202">
        <f>+K70*('Jerarq. Riesgos Plazo'!$L$77+1)</f>
        <v>0.15830675463795107</v>
      </c>
      <c r="M70" s="64">
        <f>+N70*(-'Jerarq. Riesgos Costos'!$J$72+1)</f>
        <v>240000</v>
      </c>
      <c r="N70" s="203">
        <f t="shared" si="18"/>
        <v>300000</v>
      </c>
      <c r="O70" s="49">
        <f>+N70*('Jerarq. Riesgos Costos'!$K$72+1)</f>
        <v>415122.19317561114</v>
      </c>
      <c r="P70" s="64">
        <f>+Q70-Q70*'Jerarq. Riesgos Plazo'!$Q$77</f>
        <v>0.09</v>
      </c>
      <c r="Q70" s="4">
        <f t="shared" si="13"/>
        <v>0.1</v>
      </c>
      <c r="R70" s="264">
        <f>+Q70+Q70*'Jerarq. Riesgos Plazo'!$R$77</f>
        <v>0.14035855761686716</v>
      </c>
      <c r="S70" s="38">
        <f>+T70*(-'Jerarq. Riesgos Costos'!$P$72+1)</f>
        <v>240000</v>
      </c>
      <c r="T70" s="203">
        <f t="shared" si="17"/>
        <v>300000</v>
      </c>
      <c r="U70" s="34">
        <f>+T70*('Jerarq. Riesgos Costos'!$Q$72+1)</f>
        <v>397488.77270244458</v>
      </c>
      <c r="V70" s="29"/>
      <c r="W70" s="4">
        <v>0.1</v>
      </c>
      <c r="X70" s="256">
        <f>+W70*('Jerarq. Riesgos Plazo'!$M$65/100+1)</f>
        <v>0.10011953689982207</v>
      </c>
      <c r="Y70" s="29"/>
      <c r="Z70" s="4"/>
      <c r="AA70" s="30"/>
      <c r="AB70" s="29"/>
      <c r="AC70" s="4">
        <v>0.1</v>
      </c>
      <c r="AD70" s="256">
        <f>+AC70*('Jerarq. Riesgos Plazo'!$M$65/100+1)</f>
        <v>0.10011953689982207</v>
      </c>
      <c r="AE70" s="29"/>
      <c r="AF70" s="4"/>
      <c r="AG70" s="30"/>
    </row>
    <row r="71" spans="2:33" ht="18" x14ac:dyDescent="0.25">
      <c r="B71" s="110" t="s">
        <v>470</v>
      </c>
      <c r="C71" s="115" t="s">
        <v>713</v>
      </c>
      <c r="D71" s="112" t="s">
        <v>489</v>
      </c>
      <c r="E71" s="113" t="s">
        <v>453</v>
      </c>
      <c r="F71" s="113">
        <v>1</v>
      </c>
      <c r="G71" s="265">
        <v>0.1</v>
      </c>
      <c r="H71" s="114">
        <v>22500</v>
      </c>
      <c r="I71" s="129">
        <f t="shared" si="23"/>
        <v>22500</v>
      </c>
      <c r="J71" s="343">
        <f>+K71-'Jerarq. Riesgos Plazo'!$K$77*'Aplicación proyecto JE'!K71</f>
        <v>0.09</v>
      </c>
      <c r="K71" s="4">
        <v>0.1</v>
      </c>
      <c r="L71" s="202">
        <f>+K71*('Jerarq. Riesgos Plazo'!$L$77+1)</f>
        <v>0.15830675463795107</v>
      </c>
      <c r="M71" s="64">
        <f>+N71*(-'Jerarq. Riesgos Costos'!$J$72+1)</f>
        <v>18000</v>
      </c>
      <c r="N71" s="203">
        <f t="shared" si="18"/>
        <v>22500</v>
      </c>
      <c r="O71" s="49">
        <f>+N71*('Jerarq. Riesgos Costos'!$K$72+1)</f>
        <v>31134.164488170838</v>
      </c>
      <c r="P71" s="64">
        <f>+Q71-Q71*'Jerarq. Riesgos Plazo'!$Q$77</f>
        <v>0.09</v>
      </c>
      <c r="Q71" s="4">
        <f t="shared" ref="Q71:Q133" si="24">+K71</f>
        <v>0.1</v>
      </c>
      <c r="R71" s="264">
        <f>+Q71+Q71*'Jerarq. Riesgos Plazo'!$R$77</f>
        <v>0.14035855761686716</v>
      </c>
      <c r="S71" s="38">
        <f>+T71*(-'Jerarq. Riesgos Costos'!$P$72+1)</f>
        <v>18000</v>
      </c>
      <c r="T71" s="203">
        <f t="shared" si="17"/>
        <v>22500</v>
      </c>
      <c r="U71" s="34">
        <f>+T71*('Jerarq. Riesgos Costos'!$Q$72+1)</f>
        <v>29811.657952683345</v>
      </c>
      <c r="V71" s="29"/>
      <c r="W71" s="4">
        <v>0.1</v>
      </c>
      <c r="X71" s="256">
        <f>+W71*('Jerarq. Riesgos Plazo'!$M$65/100+1)</f>
        <v>0.10011953689982207</v>
      </c>
      <c r="Y71" s="29"/>
      <c r="Z71" s="4"/>
      <c r="AA71" s="30"/>
      <c r="AB71" s="29"/>
      <c r="AC71" s="4">
        <v>0.1</v>
      </c>
      <c r="AD71" s="256">
        <f>+AC71*('Jerarq. Riesgos Plazo'!$M$65/100+1)</f>
        <v>0.10011953689982207</v>
      </c>
      <c r="AE71" s="29"/>
      <c r="AF71" s="4"/>
      <c r="AG71" s="30"/>
    </row>
    <row r="72" spans="2:33" ht="18" x14ac:dyDescent="0.25">
      <c r="B72" s="110" t="s">
        <v>470</v>
      </c>
      <c r="C72" s="115" t="s">
        <v>714</v>
      </c>
      <c r="D72" s="112" t="s">
        <v>490</v>
      </c>
      <c r="E72" s="113" t="s">
        <v>453</v>
      </c>
      <c r="F72" s="113">
        <v>1</v>
      </c>
      <c r="G72" s="265">
        <v>0.5</v>
      </c>
      <c r="H72" s="114">
        <v>24750.000000000004</v>
      </c>
      <c r="I72" s="129">
        <f t="shared" si="23"/>
        <v>24750.000000000004</v>
      </c>
      <c r="J72" s="343">
        <f>+K72-'Jerarq. Riesgos Plazo'!$K$77*'Aplicación proyecto JE'!K72</f>
        <v>0.45</v>
      </c>
      <c r="K72" s="4">
        <v>0.5</v>
      </c>
      <c r="L72" s="202">
        <f>+K72*('Jerarq. Riesgos Plazo'!$L$77+1)</f>
        <v>0.79153377318975526</v>
      </c>
      <c r="M72" s="64">
        <f>+N72*(-'Jerarq. Riesgos Costos'!$J$72+1)</f>
        <v>19800.000000000004</v>
      </c>
      <c r="N72" s="203">
        <f t="shared" si="18"/>
        <v>24750.000000000004</v>
      </c>
      <c r="O72" s="49">
        <f>+N72*('Jerarq. Riesgos Costos'!$K$72+1)</f>
        <v>34247.580936987928</v>
      </c>
      <c r="P72" s="64">
        <f>+Q72-Q72*'Jerarq. Riesgos Plazo'!$Q$77</f>
        <v>0.45</v>
      </c>
      <c r="Q72" s="4">
        <f t="shared" si="24"/>
        <v>0.5</v>
      </c>
      <c r="R72" s="264">
        <f>+Q72+Q72*'Jerarq. Riesgos Plazo'!$R$77</f>
        <v>0.70179278808433576</v>
      </c>
      <c r="S72" s="38">
        <f>+T72*(-'Jerarq. Riesgos Costos'!$P$72+1)</f>
        <v>19800.000000000004</v>
      </c>
      <c r="T72" s="203">
        <f t="shared" si="17"/>
        <v>24750.000000000004</v>
      </c>
      <c r="U72" s="34">
        <f>+T72*('Jerarq. Riesgos Costos'!$Q$72+1)</f>
        <v>32792.823747951683</v>
      </c>
      <c r="V72" s="29"/>
      <c r="W72" s="4">
        <v>0.5</v>
      </c>
      <c r="X72" s="256">
        <f>+W72*('Jerarq. Riesgos Plazo'!$M$65/100+1)</f>
        <v>0.50059768449911035</v>
      </c>
      <c r="Y72" s="29"/>
      <c r="Z72" s="4"/>
      <c r="AA72" s="30"/>
      <c r="AB72" s="29"/>
      <c r="AC72" s="4">
        <v>0.5</v>
      </c>
      <c r="AD72" s="256">
        <f>+AC72*('Jerarq. Riesgos Plazo'!$M$65/100+1)</f>
        <v>0.50059768449911035</v>
      </c>
      <c r="AE72" s="29"/>
      <c r="AF72" s="4"/>
      <c r="AG72" s="30"/>
    </row>
    <row r="73" spans="2:33" ht="18" x14ac:dyDescent="0.25">
      <c r="B73" s="110" t="s">
        <v>470</v>
      </c>
      <c r="C73" s="115" t="s">
        <v>715</v>
      </c>
      <c r="D73" s="112" t="s">
        <v>491</v>
      </c>
      <c r="E73" s="113" t="s">
        <v>472</v>
      </c>
      <c r="F73" s="113">
        <v>40</v>
      </c>
      <c r="G73" s="265">
        <v>0.8</v>
      </c>
      <c r="H73" s="114">
        <v>16000</v>
      </c>
      <c r="I73" s="129">
        <f t="shared" si="23"/>
        <v>640000</v>
      </c>
      <c r="J73" s="343">
        <f>+K73-'Jerarq. Riesgos Plazo'!$K$77*'Aplicación proyecto JE'!K73</f>
        <v>0.72</v>
      </c>
      <c r="K73" s="4">
        <v>0.8</v>
      </c>
      <c r="L73" s="202">
        <f>+K73*('Jerarq. Riesgos Plazo'!$L$77+1)</f>
        <v>1.2664540371036086</v>
      </c>
      <c r="M73" s="64">
        <f>+N73*(-'Jerarq. Riesgos Costos'!$J$72+1)</f>
        <v>512000</v>
      </c>
      <c r="N73" s="203">
        <f t="shared" si="18"/>
        <v>640000</v>
      </c>
      <c r="O73" s="49">
        <f>+N73*('Jerarq. Riesgos Costos'!$K$72+1)</f>
        <v>885594.01210797054</v>
      </c>
      <c r="P73" s="64">
        <f>+Q73-Q73*'Jerarq. Riesgos Plazo'!$Q$77</f>
        <v>0.72</v>
      </c>
      <c r="Q73" s="4">
        <f t="shared" si="24"/>
        <v>0.8</v>
      </c>
      <c r="R73" s="264">
        <f>+Q73+Q73*'Jerarq. Riesgos Plazo'!$R$77</f>
        <v>1.1228684609349373</v>
      </c>
      <c r="S73" s="38">
        <f>+T73*(-'Jerarq. Riesgos Costos'!$P$72+1)</f>
        <v>512000</v>
      </c>
      <c r="T73" s="203">
        <f t="shared" si="17"/>
        <v>640000</v>
      </c>
      <c r="U73" s="34">
        <f>+T73*('Jerarq. Riesgos Costos'!$Q$72+1)</f>
        <v>847976.04843188182</v>
      </c>
      <c r="V73" s="29"/>
      <c r="W73" s="4">
        <v>0.8</v>
      </c>
      <c r="X73" s="256">
        <f>+W73*('Jerarq. Riesgos Plazo'!$M$65/100+1)</f>
        <v>0.80095629519857658</v>
      </c>
      <c r="Y73" s="29"/>
      <c r="Z73" s="4"/>
      <c r="AA73" s="30"/>
      <c r="AB73" s="29"/>
      <c r="AC73" s="4">
        <v>0.8</v>
      </c>
      <c r="AD73" s="256">
        <f>+AC73*('Jerarq. Riesgos Plazo'!$M$65/100+1)</f>
        <v>0.80095629519857658</v>
      </c>
      <c r="AE73" s="29"/>
      <c r="AF73" s="4"/>
      <c r="AG73" s="30"/>
    </row>
    <row r="74" spans="2:33" ht="18" x14ac:dyDescent="0.25">
      <c r="B74" s="110" t="s">
        <v>470</v>
      </c>
      <c r="C74" s="115" t="s">
        <v>716</v>
      </c>
      <c r="D74" s="112" t="s">
        <v>492</v>
      </c>
      <c r="E74" s="113" t="s">
        <v>472</v>
      </c>
      <c r="F74" s="113">
        <v>45</v>
      </c>
      <c r="G74" s="265">
        <v>0.3</v>
      </c>
      <c r="H74" s="114">
        <v>18000</v>
      </c>
      <c r="I74" s="129">
        <f t="shared" si="23"/>
        <v>810000</v>
      </c>
      <c r="J74" s="343">
        <f>+K74-'Jerarq. Riesgos Plazo'!$K$77*'Aplicación proyecto JE'!K74</f>
        <v>0.27</v>
      </c>
      <c r="K74" s="4">
        <v>0.3</v>
      </c>
      <c r="L74" s="202">
        <f>+K74*('Jerarq. Riesgos Plazo'!$L$77+1)</f>
        <v>0.47492026391385311</v>
      </c>
      <c r="M74" s="64">
        <f>+N74*(-'Jerarq. Riesgos Costos'!$J$72+1)</f>
        <v>648000</v>
      </c>
      <c r="N74" s="203">
        <f t="shared" si="18"/>
        <v>810000</v>
      </c>
      <c r="O74" s="49">
        <f>+N74*('Jerarq. Riesgos Costos'!$K$72+1)</f>
        <v>1120829.9215741502</v>
      </c>
      <c r="P74" s="64">
        <f>+Q74-Q74*'Jerarq. Riesgos Plazo'!$Q$77</f>
        <v>0.27</v>
      </c>
      <c r="Q74" s="4">
        <f t="shared" si="24"/>
        <v>0.3</v>
      </c>
      <c r="R74" s="264">
        <f>+Q74+Q74*'Jerarq. Riesgos Plazo'!$R$77</f>
        <v>0.42107567285060143</v>
      </c>
      <c r="S74" s="38">
        <f>+T74*(-'Jerarq. Riesgos Costos'!$P$72+1)</f>
        <v>648000</v>
      </c>
      <c r="T74" s="203">
        <f t="shared" si="17"/>
        <v>810000</v>
      </c>
      <c r="U74" s="34">
        <f>+T74*('Jerarq. Riesgos Costos'!$Q$72+1)</f>
        <v>1073219.6862966004</v>
      </c>
      <c r="V74" s="29"/>
      <c r="W74" s="4">
        <v>0.3</v>
      </c>
      <c r="X74" s="256">
        <f>+W74*('Jerarq. Riesgos Plazo'!$M$65/100+1)</f>
        <v>0.30035861069946618</v>
      </c>
      <c r="Y74" s="29"/>
      <c r="Z74" s="4"/>
      <c r="AA74" s="30"/>
      <c r="AB74" s="29"/>
      <c r="AC74" s="4">
        <v>0.3</v>
      </c>
      <c r="AD74" s="256">
        <f>+AC74*('Jerarq. Riesgos Plazo'!$M$65/100+1)</f>
        <v>0.30035861069946618</v>
      </c>
      <c r="AE74" s="29"/>
      <c r="AF74" s="4"/>
      <c r="AG74" s="30"/>
    </row>
    <row r="75" spans="2:33" ht="18" x14ac:dyDescent="0.25">
      <c r="B75" s="110" t="s">
        <v>470</v>
      </c>
      <c r="C75" s="115" t="s">
        <v>717</v>
      </c>
      <c r="D75" s="112" t="s">
        <v>493</v>
      </c>
      <c r="E75" s="113" t="s">
        <v>472</v>
      </c>
      <c r="F75" s="113">
        <v>15</v>
      </c>
      <c r="G75" s="265">
        <v>1</v>
      </c>
      <c r="H75" s="114">
        <v>8500</v>
      </c>
      <c r="I75" s="129">
        <f t="shared" si="23"/>
        <v>127500</v>
      </c>
      <c r="J75" s="343">
        <f>+K75-'Jerarq. Riesgos Plazo'!$K$77*'Aplicación proyecto JE'!K75</f>
        <v>0.9</v>
      </c>
      <c r="K75" s="4">
        <v>1</v>
      </c>
      <c r="L75" s="202">
        <f>+K75*('Jerarq. Riesgos Plazo'!$L$77+1)</f>
        <v>1.5830675463795105</v>
      </c>
      <c r="M75" s="64">
        <f>+N75*(-'Jerarq. Riesgos Costos'!$J$72+1)</f>
        <v>102000</v>
      </c>
      <c r="N75" s="203">
        <f t="shared" si="18"/>
        <v>127500</v>
      </c>
      <c r="O75" s="49">
        <f>+N75*('Jerarq. Riesgos Costos'!$K$72+1)</f>
        <v>176426.93209963475</v>
      </c>
      <c r="P75" s="64">
        <f>+Q75-Q75*'Jerarq. Riesgos Plazo'!$Q$77</f>
        <v>0.9</v>
      </c>
      <c r="Q75" s="4">
        <f t="shared" si="24"/>
        <v>1</v>
      </c>
      <c r="R75" s="264">
        <f>+Q75+Q75*'Jerarq. Riesgos Plazo'!$R$77</f>
        <v>1.4035855761686715</v>
      </c>
      <c r="S75" s="38">
        <f>+T75*(-'Jerarq. Riesgos Costos'!$P$72+1)</f>
        <v>102000</v>
      </c>
      <c r="T75" s="203">
        <f t="shared" si="17"/>
        <v>127500</v>
      </c>
      <c r="U75" s="34">
        <f>+T75*('Jerarq. Riesgos Costos'!$Q$72+1)</f>
        <v>168932.72839853895</v>
      </c>
      <c r="V75" s="29"/>
      <c r="W75" s="4">
        <v>1</v>
      </c>
      <c r="X75" s="256">
        <f>+W75*('Jerarq. Riesgos Plazo'!$M$65/100+1)</f>
        <v>1.0011953689982207</v>
      </c>
      <c r="Y75" s="29"/>
      <c r="Z75" s="4"/>
      <c r="AA75" s="30"/>
      <c r="AB75" s="29"/>
      <c r="AC75" s="4">
        <v>1</v>
      </c>
      <c r="AD75" s="256">
        <f>+AC75*('Jerarq. Riesgos Plazo'!$M$65/100+1)</f>
        <v>1.0011953689982207</v>
      </c>
      <c r="AE75" s="29"/>
      <c r="AF75" s="4"/>
      <c r="AG75" s="30"/>
    </row>
    <row r="76" spans="2:33" ht="18" x14ac:dyDescent="0.25">
      <c r="B76" s="110" t="s">
        <v>470</v>
      </c>
      <c r="C76" s="115" t="s">
        <v>718</v>
      </c>
      <c r="D76" s="112" t="s">
        <v>662</v>
      </c>
      <c r="E76" s="113" t="s">
        <v>453</v>
      </c>
      <c r="F76" s="113">
        <v>16</v>
      </c>
      <c r="G76" s="265">
        <v>0.3</v>
      </c>
      <c r="H76" s="114">
        <v>18300</v>
      </c>
      <c r="I76" s="129">
        <f t="shared" si="23"/>
        <v>292800</v>
      </c>
      <c r="J76" s="343">
        <f>+K76-'Jerarq. Riesgos Plazo'!$K$77*'Aplicación proyecto JE'!K76</f>
        <v>0.27</v>
      </c>
      <c r="K76" s="4">
        <v>0.3</v>
      </c>
      <c r="L76" s="202">
        <f>+K76*('Jerarq. Riesgos Plazo'!$L$77+1)</f>
        <v>0.47492026391385311</v>
      </c>
      <c r="M76" s="64">
        <f>+N76*(-'Jerarq. Riesgos Costos'!$J$72+1)</f>
        <v>234240</v>
      </c>
      <c r="N76" s="203">
        <f t="shared" si="18"/>
        <v>292800</v>
      </c>
      <c r="O76" s="49">
        <f>+N76*('Jerarq. Riesgos Costos'!$K$72+1)</f>
        <v>405159.26053939649</v>
      </c>
      <c r="P76" s="64">
        <f>+Q76-Q76*'Jerarq. Riesgos Plazo'!$Q$77</f>
        <v>0.27</v>
      </c>
      <c r="Q76" s="4">
        <f t="shared" si="24"/>
        <v>0.3</v>
      </c>
      <c r="R76" s="264">
        <f>+Q76+Q76*'Jerarq. Riesgos Plazo'!$R$77</f>
        <v>0.42107567285060143</v>
      </c>
      <c r="S76" s="38">
        <f>+T76*(-'Jerarq. Riesgos Costos'!$P$72+1)</f>
        <v>234240</v>
      </c>
      <c r="T76" s="203">
        <f t="shared" si="17"/>
        <v>292800</v>
      </c>
      <c r="U76" s="34">
        <f>+T76*('Jerarq. Riesgos Costos'!$Q$72+1)</f>
        <v>387949.04215758591</v>
      </c>
      <c r="V76" s="29"/>
      <c r="W76" s="4">
        <v>0.3</v>
      </c>
      <c r="X76" s="256">
        <f>+W76*('Jerarq. Riesgos Plazo'!$M$65/100+1)</f>
        <v>0.30035861069946618</v>
      </c>
      <c r="Y76" s="29"/>
      <c r="Z76" s="4"/>
      <c r="AA76" s="30"/>
      <c r="AB76" s="29"/>
      <c r="AC76" s="4">
        <v>0.3</v>
      </c>
      <c r="AD76" s="256">
        <f>+AC76*('Jerarq. Riesgos Plazo'!$M$65/100+1)</f>
        <v>0.30035861069946618</v>
      </c>
      <c r="AE76" s="29"/>
      <c r="AF76" s="4"/>
      <c r="AG76" s="30"/>
    </row>
    <row r="77" spans="2:33" ht="18" x14ac:dyDescent="0.25">
      <c r="B77" s="110" t="s">
        <v>470</v>
      </c>
      <c r="C77" s="115" t="s">
        <v>719</v>
      </c>
      <c r="D77" s="112" t="s">
        <v>494</v>
      </c>
      <c r="E77" s="113" t="s">
        <v>453</v>
      </c>
      <c r="F77" s="113">
        <v>6</v>
      </c>
      <c r="G77" s="265">
        <v>0.3</v>
      </c>
      <c r="H77" s="114">
        <v>38250</v>
      </c>
      <c r="I77" s="129">
        <f t="shared" si="23"/>
        <v>229500</v>
      </c>
      <c r="J77" s="343">
        <f>+K77-'Jerarq. Riesgos Plazo'!$K$77*'Aplicación proyecto JE'!K77</f>
        <v>0.27</v>
      </c>
      <c r="K77" s="4">
        <v>0.3</v>
      </c>
      <c r="L77" s="202">
        <f>+K77*('Jerarq. Riesgos Plazo'!$L$77+1)</f>
        <v>0.47492026391385311</v>
      </c>
      <c r="M77" s="64">
        <f>+N77*(-'Jerarq. Riesgos Costos'!$J$72+1)</f>
        <v>183600</v>
      </c>
      <c r="N77" s="203">
        <f t="shared" si="18"/>
        <v>229500</v>
      </c>
      <c r="O77" s="49">
        <f>+N77*('Jerarq. Riesgos Costos'!$K$72+1)</f>
        <v>317568.47777934256</v>
      </c>
      <c r="P77" s="64">
        <f>+Q77-Q77*'Jerarq. Riesgos Plazo'!$Q$77</f>
        <v>0.27</v>
      </c>
      <c r="Q77" s="4">
        <f t="shared" si="24"/>
        <v>0.3</v>
      </c>
      <c r="R77" s="264">
        <f>+Q77+Q77*'Jerarq. Riesgos Plazo'!$R$77</f>
        <v>0.42107567285060143</v>
      </c>
      <c r="S77" s="38">
        <f>+T77*(-'Jerarq. Riesgos Costos'!$P$72+1)</f>
        <v>183600</v>
      </c>
      <c r="T77" s="203">
        <f t="shared" si="17"/>
        <v>229500</v>
      </c>
      <c r="U77" s="34">
        <f>+T77*('Jerarq. Riesgos Costos'!$Q$72+1)</f>
        <v>304078.91111737012</v>
      </c>
      <c r="V77" s="29"/>
      <c r="W77" s="4">
        <v>0.3</v>
      </c>
      <c r="X77" s="256">
        <f>+W77*('Jerarq. Riesgos Plazo'!$M$65/100+1)</f>
        <v>0.30035861069946618</v>
      </c>
      <c r="Y77" s="29"/>
      <c r="Z77" s="4"/>
      <c r="AA77" s="30"/>
      <c r="AB77" s="29"/>
      <c r="AC77" s="4">
        <v>0.3</v>
      </c>
      <c r="AD77" s="256">
        <f>+AC77*('Jerarq. Riesgos Plazo'!$M$65/100+1)</f>
        <v>0.30035861069946618</v>
      </c>
      <c r="AE77" s="29"/>
      <c r="AF77" s="4"/>
      <c r="AG77" s="30"/>
    </row>
    <row r="78" spans="2:33" ht="18" x14ac:dyDescent="0.25">
      <c r="B78" s="110" t="s">
        <v>470</v>
      </c>
      <c r="C78" s="115" t="s">
        <v>720</v>
      </c>
      <c r="D78" s="112" t="s">
        <v>495</v>
      </c>
      <c r="E78" s="113" t="s">
        <v>453</v>
      </c>
      <c r="F78" s="113">
        <v>3</v>
      </c>
      <c r="G78" s="265">
        <v>0.3</v>
      </c>
      <c r="H78" s="114">
        <v>38250</v>
      </c>
      <c r="I78" s="129">
        <f t="shared" si="23"/>
        <v>114750</v>
      </c>
      <c r="J78" s="343">
        <f>+K78-'Jerarq. Riesgos Plazo'!$K$77*'Aplicación proyecto JE'!K78</f>
        <v>0.27</v>
      </c>
      <c r="K78" s="4">
        <v>0.3</v>
      </c>
      <c r="L78" s="202">
        <f>+K78*('Jerarq. Riesgos Plazo'!$L$77+1)</f>
        <v>0.47492026391385311</v>
      </c>
      <c r="M78" s="64">
        <f>+N78*(-'Jerarq. Riesgos Costos'!$J$72+1)</f>
        <v>91800</v>
      </c>
      <c r="N78" s="203">
        <f t="shared" si="18"/>
        <v>114750</v>
      </c>
      <c r="O78" s="49">
        <f>+N78*('Jerarq. Riesgos Costos'!$K$72+1)</f>
        <v>158784.23888967128</v>
      </c>
      <c r="P78" s="64">
        <f>+Q78-Q78*'Jerarq. Riesgos Plazo'!$Q$77</f>
        <v>0.27</v>
      </c>
      <c r="Q78" s="4">
        <f t="shared" si="24"/>
        <v>0.3</v>
      </c>
      <c r="R78" s="264">
        <f>+Q78+Q78*'Jerarq. Riesgos Plazo'!$R$77</f>
        <v>0.42107567285060143</v>
      </c>
      <c r="S78" s="38">
        <f>+T78*(-'Jerarq. Riesgos Costos'!$P$72+1)</f>
        <v>91800</v>
      </c>
      <c r="T78" s="203">
        <f t="shared" si="17"/>
        <v>114750</v>
      </c>
      <c r="U78" s="34">
        <f>+T78*('Jerarq. Riesgos Costos'!$Q$72+1)</f>
        <v>152039.45555868506</v>
      </c>
      <c r="V78" s="29"/>
      <c r="W78" s="4">
        <v>0.3</v>
      </c>
      <c r="X78" s="256">
        <f>+W78*('Jerarq. Riesgos Plazo'!$M$65/100+1)</f>
        <v>0.30035861069946618</v>
      </c>
      <c r="Y78" s="29"/>
      <c r="Z78" s="4"/>
      <c r="AA78" s="30"/>
      <c r="AB78" s="29"/>
      <c r="AC78" s="4">
        <v>0.3</v>
      </c>
      <c r="AD78" s="256">
        <f>+AC78*('Jerarq. Riesgos Plazo'!$M$65/100+1)</f>
        <v>0.30035861069946618</v>
      </c>
      <c r="AE78" s="29"/>
      <c r="AF78" s="4"/>
      <c r="AG78" s="30"/>
    </row>
    <row r="79" spans="2:33" ht="18" x14ac:dyDescent="0.25">
      <c r="B79" s="110" t="s">
        <v>470</v>
      </c>
      <c r="C79" s="115" t="s">
        <v>721</v>
      </c>
      <c r="D79" s="112" t="s">
        <v>496</v>
      </c>
      <c r="E79" s="113" t="s">
        <v>453</v>
      </c>
      <c r="F79" s="113">
        <v>11</v>
      </c>
      <c r="G79" s="265">
        <v>0.3</v>
      </c>
      <c r="H79" s="114">
        <v>75000</v>
      </c>
      <c r="I79" s="129">
        <f t="shared" si="23"/>
        <v>825000</v>
      </c>
      <c r="J79" s="343">
        <f>+K79-'Jerarq. Riesgos Plazo'!$K$77*'Aplicación proyecto JE'!K79</f>
        <v>0.27</v>
      </c>
      <c r="K79" s="4">
        <v>0.3</v>
      </c>
      <c r="L79" s="202">
        <f>+K79*('Jerarq. Riesgos Plazo'!$L$77+1)</f>
        <v>0.47492026391385311</v>
      </c>
      <c r="M79" s="64">
        <f>+N79*(-'Jerarq. Riesgos Costos'!$J$72+1)</f>
        <v>660000</v>
      </c>
      <c r="N79" s="203">
        <f t="shared" si="18"/>
        <v>825000</v>
      </c>
      <c r="O79" s="49">
        <f>+N79*('Jerarq. Riesgos Costos'!$K$72+1)</f>
        <v>1141586.0312329307</v>
      </c>
      <c r="P79" s="64">
        <f>+Q79-Q79*'Jerarq. Riesgos Plazo'!$Q$77</f>
        <v>0.27</v>
      </c>
      <c r="Q79" s="4">
        <f t="shared" si="24"/>
        <v>0.3</v>
      </c>
      <c r="R79" s="264">
        <f>+Q79+Q79*'Jerarq. Riesgos Plazo'!$R$77</f>
        <v>0.42107567285060143</v>
      </c>
      <c r="S79" s="38">
        <f>+T79*(-'Jerarq. Riesgos Costos'!$P$72+1)</f>
        <v>660000</v>
      </c>
      <c r="T79" s="203">
        <f t="shared" si="17"/>
        <v>825000</v>
      </c>
      <c r="U79" s="34">
        <f>+T79*('Jerarq. Riesgos Costos'!$Q$72+1)</f>
        <v>1093094.1249317226</v>
      </c>
      <c r="V79" s="29"/>
      <c r="W79" s="4">
        <v>0.3</v>
      </c>
      <c r="X79" s="256">
        <f>+W79*('Jerarq. Riesgos Plazo'!$M$65/100+1)</f>
        <v>0.30035861069946618</v>
      </c>
      <c r="Y79" s="29"/>
      <c r="Z79" s="4"/>
      <c r="AA79" s="30"/>
      <c r="AB79" s="29"/>
      <c r="AC79" s="4">
        <v>0.3</v>
      </c>
      <c r="AD79" s="256">
        <f>+AC79*('Jerarq. Riesgos Plazo'!$M$65/100+1)</f>
        <v>0.30035861069946618</v>
      </c>
      <c r="AE79" s="29"/>
      <c r="AF79" s="4"/>
      <c r="AG79" s="30"/>
    </row>
    <row r="80" spans="2:33" ht="18" x14ac:dyDescent="0.25">
      <c r="B80" s="110" t="s">
        <v>470</v>
      </c>
      <c r="C80" s="115" t="s">
        <v>722</v>
      </c>
      <c r="D80" s="112" t="s">
        <v>497</v>
      </c>
      <c r="E80" s="113" t="s">
        <v>453</v>
      </c>
      <c r="F80" s="113">
        <v>8</v>
      </c>
      <c r="G80" s="265">
        <v>0.1</v>
      </c>
      <c r="H80" s="114">
        <v>75000</v>
      </c>
      <c r="I80" s="129">
        <f t="shared" si="23"/>
        <v>600000</v>
      </c>
      <c r="J80" s="343">
        <f>+K80-'Jerarq. Riesgos Plazo'!$K$77*'Aplicación proyecto JE'!K80</f>
        <v>0.09</v>
      </c>
      <c r="K80" s="4">
        <v>0.1</v>
      </c>
      <c r="L80" s="202">
        <f>+K80*('Jerarq. Riesgos Plazo'!$L$77+1)</f>
        <v>0.15830675463795107</v>
      </c>
      <c r="M80" s="64">
        <f>+N80*(-'Jerarq. Riesgos Costos'!$J$72+1)</f>
        <v>480000</v>
      </c>
      <c r="N80" s="203">
        <f t="shared" si="18"/>
        <v>600000</v>
      </c>
      <c r="O80" s="49">
        <f>+N80*('Jerarq. Riesgos Costos'!$K$72+1)</f>
        <v>830244.38635122229</v>
      </c>
      <c r="P80" s="64">
        <f>+Q80-Q80*'Jerarq. Riesgos Plazo'!$Q$77</f>
        <v>0.09</v>
      </c>
      <c r="Q80" s="4">
        <f t="shared" si="24"/>
        <v>0.1</v>
      </c>
      <c r="R80" s="264">
        <f>+Q80+Q80*'Jerarq. Riesgos Plazo'!$R$77</f>
        <v>0.14035855761686716</v>
      </c>
      <c r="S80" s="38">
        <f>+T80*(-'Jerarq. Riesgos Costos'!$P$72+1)</f>
        <v>480000</v>
      </c>
      <c r="T80" s="203">
        <f t="shared" si="17"/>
        <v>600000</v>
      </c>
      <c r="U80" s="34">
        <f>+T80*('Jerarq. Riesgos Costos'!$Q$72+1)</f>
        <v>794977.54540488916</v>
      </c>
      <c r="V80" s="29"/>
      <c r="W80" s="4"/>
      <c r="X80" s="256"/>
      <c r="Y80" s="29"/>
      <c r="Z80" s="4"/>
      <c r="AA80" s="30"/>
      <c r="AB80" s="29"/>
      <c r="AC80" s="4"/>
      <c r="AD80" s="256"/>
      <c r="AE80" s="29"/>
      <c r="AF80" s="4"/>
      <c r="AG80" s="30"/>
    </row>
    <row r="81" spans="2:33" ht="18" x14ac:dyDescent="0.25">
      <c r="B81" s="251" t="s">
        <v>655</v>
      </c>
      <c r="C81" s="251" t="s">
        <v>460</v>
      </c>
      <c r="D81" s="252" t="s">
        <v>434</v>
      </c>
      <c r="E81" s="253"/>
      <c r="F81" s="254"/>
      <c r="G81" s="261">
        <f>+SUM(G82:G89)</f>
        <v>18.3</v>
      </c>
      <c r="H81" s="255"/>
      <c r="I81" s="256">
        <f t="shared" ref="I81:O81" si="25">+SUM(I82:I89)</f>
        <v>71901400</v>
      </c>
      <c r="J81" s="261">
        <f t="shared" si="25"/>
        <v>16.47</v>
      </c>
      <c r="K81" s="261">
        <f t="shared" si="25"/>
        <v>18.3</v>
      </c>
      <c r="L81" s="256">
        <f t="shared" si="25"/>
        <v>28.970136098745041</v>
      </c>
      <c r="M81" s="260">
        <f t="shared" si="25"/>
        <v>57521120</v>
      </c>
      <c r="N81" s="261">
        <f t="shared" si="25"/>
        <v>71901400</v>
      </c>
      <c r="O81" s="262">
        <f t="shared" si="25"/>
        <v>96257326.534656286</v>
      </c>
      <c r="P81" s="260">
        <f t="shared" ref="P81:U81" si="26">+SUM(P82:P89)</f>
        <v>16.47</v>
      </c>
      <c r="Q81" s="261">
        <f t="shared" si="26"/>
        <v>18.3</v>
      </c>
      <c r="R81" s="262">
        <f t="shared" si="26"/>
        <v>25.685616043886693</v>
      </c>
      <c r="S81" s="368">
        <f t="shared" si="26"/>
        <v>57521120</v>
      </c>
      <c r="T81" s="261">
        <f t="shared" si="26"/>
        <v>71901400</v>
      </c>
      <c r="U81" s="262">
        <f t="shared" si="26"/>
        <v>93828636.138625175</v>
      </c>
      <c r="V81" s="260">
        <v>18</v>
      </c>
      <c r="W81" s="261">
        <f>+SUM(W82:W89)</f>
        <v>18.3</v>
      </c>
      <c r="X81" s="256">
        <f>+W81*('Jerarq. Riesgos Plazo'!$M$65/100+1)</f>
        <v>18.321875252667439</v>
      </c>
      <c r="Y81" s="260"/>
      <c r="Z81" s="261"/>
      <c r="AA81" s="262"/>
      <c r="AB81" s="260">
        <v>18</v>
      </c>
      <c r="AC81" s="261">
        <f>+SUM(AC82:AC89)</f>
        <v>18.3</v>
      </c>
      <c r="AD81" s="256">
        <f>+AC81*('Jerarq. Riesgos Plazo'!$M$65/100+1)</f>
        <v>18.321875252667439</v>
      </c>
      <c r="AE81" s="260"/>
      <c r="AF81" s="261"/>
      <c r="AG81" s="262"/>
    </row>
    <row r="82" spans="2:33" ht="18" x14ac:dyDescent="0.25">
      <c r="B82" s="110" t="s">
        <v>435</v>
      </c>
      <c r="C82" s="115" t="s">
        <v>723</v>
      </c>
      <c r="D82" s="112" t="s">
        <v>438</v>
      </c>
      <c r="E82" s="113" t="s">
        <v>429</v>
      </c>
      <c r="F82" s="113">
        <v>5462</v>
      </c>
      <c r="G82" s="265">
        <v>4</v>
      </c>
      <c r="H82" s="114">
        <v>3050</v>
      </c>
      <c r="I82" s="129">
        <f t="shared" si="16"/>
        <v>16659100</v>
      </c>
      <c r="J82" s="343">
        <f>+K82-'Jerarq. Riesgos Plazo'!$K$77*'Aplicación proyecto JE'!K82</f>
        <v>3.6</v>
      </c>
      <c r="K82" s="4">
        <v>4</v>
      </c>
      <c r="L82" s="202">
        <f>+K82*('Jerarq. Riesgos Plazo'!$L$77+1)</f>
        <v>6.3322701855180421</v>
      </c>
      <c r="M82" s="64">
        <f>+N82*(-'Jerarq. Riesgos Costos'!$J$73+1)</f>
        <v>13327280</v>
      </c>
      <c r="N82" s="203">
        <f t="shared" si="18"/>
        <v>16659100</v>
      </c>
      <c r="O82" s="49">
        <f>+N82*('Jerarq. Riesgos Costos'!$K$73+1)</f>
        <v>22302214.261106078</v>
      </c>
      <c r="P82" s="64">
        <f>+Q82-Q82*'Jerarq. Riesgos Plazo'!$Q$77</f>
        <v>3.6</v>
      </c>
      <c r="Q82" s="4">
        <f t="shared" si="24"/>
        <v>4</v>
      </c>
      <c r="R82" s="264">
        <f>+Q82+Q82*'Jerarq. Riesgos Plazo'!$R$77</f>
        <v>5.6143423046746861</v>
      </c>
      <c r="S82" s="38">
        <f>+T82*(-'Jerarq. Riesgos Costos'!$P$73+1)</f>
        <v>13327280</v>
      </c>
      <c r="T82" s="203">
        <f t="shared" si="17"/>
        <v>16659100</v>
      </c>
      <c r="U82" s="34">
        <f>+T82*('Jerarq. Riesgos Costos'!$Q$73+1)</f>
        <v>21739502.044424318</v>
      </c>
      <c r="V82" s="29"/>
      <c r="W82" s="4">
        <v>4</v>
      </c>
      <c r="X82" s="256">
        <f>+W82*('Jerarq. Riesgos Plazo'!$M$65/100+1)</f>
        <v>4.0047814759928828</v>
      </c>
      <c r="Y82" s="29"/>
      <c r="Z82" s="4"/>
      <c r="AA82" s="30"/>
      <c r="AB82" s="29"/>
      <c r="AC82" s="4">
        <v>4</v>
      </c>
      <c r="AD82" s="256">
        <f>+AC82*('Jerarq. Riesgos Plazo'!$M$65/100+1)</f>
        <v>4.0047814759928828</v>
      </c>
      <c r="AE82" s="29"/>
      <c r="AF82" s="4"/>
      <c r="AG82" s="30"/>
    </row>
    <row r="83" spans="2:33" ht="18" x14ac:dyDescent="0.25">
      <c r="B83" s="110" t="s">
        <v>435</v>
      </c>
      <c r="C83" s="115" t="s">
        <v>724</v>
      </c>
      <c r="D83" s="112" t="s">
        <v>440</v>
      </c>
      <c r="E83" s="113" t="s">
        <v>429</v>
      </c>
      <c r="F83" s="113">
        <v>7016</v>
      </c>
      <c r="G83" s="265">
        <v>1</v>
      </c>
      <c r="H83" s="114">
        <v>2300</v>
      </c>
      <c r="I83" s="129">
        <f t="shared" si="16"/>
        <v>16136800</v>
      </c>
      <c r="J83" s="343">
        <f>+K83-'Jerarq. Riesgos Plazo'!$K$77*'Aplicación proyecto JE'!K83</f>
        <v>0.9</v>
      </c>
      <c r="K83" s="4">
        <v>1</v>
      </c>
      <c r="L83" s="202">
        <f>+K83*('Jerarq. Riesgos Plazo'!$L$77+1)</f>
        <v>1.5830675463795105</v>
      </c>
      <c r="M83" s="64">
        <f>+N83*(-'Jerarq. Riesgos Costos'!$J$73+1)</f>
        <v>12909440</v>
      </c>
      <c r="N83" s="203">
        <f t="shared" si="18"/>
        <v>16136800</v>
      </c>
      <c r="O83" s="49">
        <f>+N83*('Jerarq. Riesgos Costos'!$K$73+1)</f>
        <v>21602990.02278734</v>
      </c>
      <c r="P83" s="64">
        <f>+Q83-Q83*'Jerarq. Riesgos Plazo'!$Q$77</f>
        <v>0.9</v>
      </c>
      <c r="Q83" s="4">
        <f t="shared" si="24"/>
        <v>1</v>
      </c>
      <c r="R83" s="264">
        <f>+Q83+Q83*'Jerarq. Riesgos Plazo'!$R$77</f>
        <v>1.4035855761686715</v>
      </c>
      <c r="S83" s="38">
        <f>+T83*(-'Jerarq. Riesgos Costos'!$P$73+1)</f>
        <v>12909440</v>
      </c>
      <c r="T83" s="203">
        <f t="shared" si="17"/>
        <v>16136800</v>
      </c>
      <c r="U83" s="34">
        <f>+T83*('Jerarq. Riesgos Costos'!$Q$73+1)</f>
        <v>21057920.09114936</v>
      </c>
      <c r="V83" s="29"/>
      <c r="W83" s="4">
        <v>1</v>
      </c>
      <c r="X83" s="256">
        <f>+W83*('Jerarq. Riesgos Plazo'!$M$65/100+1)</f>
        <v>1.0011953689982207</v>
      </c>
      <c r="Y83" s="29"/>
      <c r="Z83" s="4"/>
      <c r="AA83" s="30"/>
      <c r="AB83" s="29"/>
      <c r="AC83" s="4">
        <v>1</v>
      </c>
      <c r="AD83" s="256">
        <f>+AC83*('Jerarq. Riesgos Plazo'!$M$65/100+1)</f>
        <v>1.0011953689982207</v>
      </c>
      <c r="AE83" s="29"/>
      <c r="AF83" s="4"/>
      <c r="AG83" s="30"/>
    </row>
    <row r="84" spans="2:33" ht="18" x14ac:dyDescent="0.25">
      <c r="B84" s="110" t="s">
        <v>435</v>
      </c>
      <c r="C84" s="115" t="s">
        <v>725</v>
      </c>
      <c r="D84" s="112" t="s">
        <v>442</v>
      </c>
      <c r="E84" s="113" t="s">
        <v>429</v>
      </c>
      <c r="F84" s="113">
        <v>5462</v>
      </c>
      <c r="G84" s="265">
        <v>5</v>
      </c>
      <c r="H84" s="114">
        <v>2500</v>
      </c>
      <c r="I84" s="129">
        <f t="shared" si="16"/>
        <v>13655000</v>
      </c>
      <c r="J84" s="343">
        <f>+K84-'Jerarq. Riesgos Plazo'!$K$77*'Aplicación proyecto JE'!K84</f>
        <v>4.5</v>
      </c>
      <c r="K84" s="4">
        <v>5</v>
      </c>
      <c r="L84" s="202">
        <f>+K84*('Jerarq. Riesgos Plazo'!$L$77+1)</f>
        <v>7.9153377318975524</v>
      </c>
      <c r="M84" s="64">
        <f>+N84*(-'Jerarq. Riesgos Costos'!$J$73+1)</f>
        <v>10924000</v>
      </c>
      <c r="N84" s="203">
        <f t="shared" si="18"/>
        <v>13655000</v>
      </c>
      <c r="O84" s="49">
        <f>+N84*('Jerarq. Riesgos Costos'!$K$73+1)</f>
        <v>18280503.492709901</v>
      </c>
      <c r="P84" s="64">
        <f>+Q84-Q84*'Jerarq. Riesgos Plazo'!$Q$77</f>
        <v>4.5</v>
      </c>
      <c r="Q84" s="4">
        <f t="shared" si="24"/>
        <v>5</v>
      </c>
      <c r="R84" s="264">
        <f>+Q84+Q84*'Jerarq. Riesgos Plazo'!$R$77</f>
        <v>7.0179278808433576</v>
      </c>
      <c r="S84" s="38">
        <f>+T84*(-'Jerarq. Riesgos Costos'!$P$73+1)</f>
        <v>10924000</v>
      </c>
      <c r="T84" s="203">
        <f t="shared" si="17"/>
        <v>13655000</v>
      </c>
      <c r="U84" s="34">
        <f>+T84*('Jerarq. Riesgos Costos'!$Q$73+1)</f>
        <v>17819263.970839605</v>
      </c>
      <c r="V84" s="29"/>
      <c r="W84" s="4">
        <v>5</v>
      </c>
      <c r="X84" s="256">
        <f>+W84*('Jerarq. Riesgos Plazo'!$M$65/100+1)</f>
        <v>5.0059768449911033</v>
      </c>
      <c r="Y84" s="29"/>
      <c r="Z84" s="4"/>
      <c r="AA84" s="30"/>
      <c r="AB84" s="29"/>
      <c r="AC84" s="4">
        <v>5</v>
      </c>
      <c r="AD84" s="256">
        <f>+AC84*('Jerarq. Riesgos Plazo'!$M$65/100+1)</f>
        <v>5.0059768449911033</v>
      </c>
      <c r="AE84" s="29"/>
      <c r="AF84" s="4"/>
      <c r="AG84" s="30"/>
    </row>
    <row r="85" spans="2:33" ht="18" x14ac:dyDescent="0.25">
      <c r="B85" s="110" t="s">
        <v>435</v>
      </c>
      <c r="C85" s="115" t="s">
        <v>726</v>
      </c>
      <c r="D85" s="112" t="s">
        <v>443</v>
      </c>
      <c r="E85" s="113" t="s">
        <v>429</v>
      </c>
      <c r="F85" s="113">
        <v>7016</v>
      </c>
      <c r="G85" s="265">
        <v>3</v>
      </c>
      <c r="H85" s="114">
        <v>2500</v>
      </c>
      <c r="I85" s="129">
        <f t="shared" si="16"/>
        <v>17540000</v>
      </c>
      <c r="J85" s="343">
        <f>+K85-'Jerarq. Riesgos Plazo'!$K$77*'Aplicación proyecto JE'!K85</f>
        <v>2.7</v>
      </c>
      <c r="K85" s="4">
        <v>3</v>
      </c>
      <c r="L85" s="202">
        <f>+K85*('Jerarq. Riesgos Plazo'!$L$77+1)</f>
        <v>4.7492026391385318</v>
      </c>
      <c r="M85" s="64">
        <f>+N85*(-'Jerarq. Riesgos Costos'!$J$73+1)</f>
        <v>14032000</v>
      </c>
      <c r="N85" s="203">
        <f t="shared" si="18"/>
        <v>17540000</v>
      </c>
      <c r="O85" s="49">
        <f>+N85*('Jerarq. Riesgos Costos'!$K$73+1)</f>
        <v>23481510.894334063</v>
      </c>
      <c r="P85" s="64">
        <f>+Q85-Q85*'Jerarq. Riesgos Plazo'!$Q$77</f>
        <v>2.7</v>
      </c>
      <c r="Q85" s="4">
        <f t="shared" si="24"/>
        <v>3</v>
      </c>
      <c r="R85" s="264">
        <f>+Q85+Q85*'Jerarq. Riesgos Plazo'!$R$77</f>
        <v>4.2107567285060146</v>
      </c>
      <c r="S85" s="38">
        <f>+T85*(-'Jerarq. Riesgos Costos'!$P$73+1)</f>
        <v>14032000</v>
      </c>
      <c r="T85" s="203">
        <f t="shared" si="17"/>
        <v>17540000</v>
      </c>
      <c r="U85" s="34">
        <f>+T85*('Jerarq. Riesgos Costos'!$Q$73+1)</f>
        <v>22889043.577336259</v>
      </c>
      <c r="V85" s="29"/>
      <c r="W85" s="4">
        <v>3</v>
      </c>
      <c r="X85" s="256">
        <f>+W85*('Jerarq. Riesgos Plazo'!$M$65/100+1)</f>
        <v>3.0035861069946623</v>
      </c>
      <c r="Y85" s="29"/>
      <c r="Z85" s="4"/>
      <c r="AA85" s="30"/>
      <c r="AB85" s="29"/>
      <c r="AC85" s="4">
        <v>3</v>
      </c>
      <c r="AD85" s="256">
        <f>+AC85*('Jerarq. Riesgos Plazo'!$M$65/100+1)</f>
        <v>3.0035861069946623</v>
      </c>
      <c r="AE85" s="29"/>
      <c r="AF85" s="4"/>
      <c r="AG85" s="30"/>
    </row>
    <row r="86" spans="2:33" ht="18" x14ac:dyDescent="0.25">
      <c r="B86" s="110" t="s">
        <v>435</v>
      </c>
      <c r="C86" s="115" t="s">
        <v>727</v>
      </c>
      <c r="D86" s="112" t="s">
        <v>444</v>
      </c>
      <c r="E86" s="113" t="s">
        <v>445</v>
      </c>
      <c r="F86" s="113">
        <v>110</v>
      </c>
      <c r="G86" s="265">
        <v>2</v>
      </c>
      <c r="H86" s="114">
        <v>46100</v>
      </c>
      <c r="I86" s="129">
        <f t="shared" si="16"/>
        <v>5071000</v>
      </c>
      <c r="J86" s="343">
        <f>+K86-'Jerarq. Riesgos Plazo'!$K$77*'Aplicación proyecto JE'!K86</f>
        <v>1.8</v>
      </c>
      <c r="K86" s="4">
        <v>2</v>
      </c>
      <c r="L86" s="202">
        <f>+K86*('Jerarq. Riesgos Plazo'!$L$77+1)</f>
        <v>3.1661350927590211</v>
      </c>
      <c r="M86" s="64">
        <f>+N86*(-'Jerarq. Riesgos Costos'!$J$73+1)</f>
        <v>4056800</v>
      </c>
      <c r="N86" s="203">
        <f t="shared" si="18"/>
        <v>5071000</v>
      </c>
      <c r="O86" s="49">
        <f>+N86*('Jerarq. Riesgos Costos'!$K$73+1)</f>
        <v>6788753.8053117469</v>
      </c>
      <c r="P86" s="64">
        <f>+Q86-Q86*'Jerarq. Riesgos Plazo'!$Q$77</f>
        <v>1.8</v>
      </c>
      <c r="Q86" s="4">
        <f t="shared" si="24"/>
        <v>2</v>
      </c>
      <c r="R86" s="264">
        <f>+Q86+Q86*'Jerarq. Riesgos Plazo'!$R$77</f>
        <v>2.807171152337343</v>
      </c>
      <c r="S86" s="38">
        <f>+T86*(-'Jerarq. Riesgos Costos'!$P$73+1)</f>
        <v>4056800</v>
      </c>
      <c r="T86" s="203">
        <f t="shared" si="17"/>
        <v>5071000</v>
      </c>
      <c r="U86" s="34">
        <f>+T86*('Jerarq. Riesgos Costos'!$Q$73+1)</f>
        <v>6617465.2212469885</v>
      </c>
      <c r="V86" s="29"/>
      <c r="W86" s="4">
        <v>2</v>
      </c>
      <c r="X86" s="256">
        <f>+W86*('Jerarq. Riesgos Plazo'!$M$65/100+1)</f>
        <v>2.0023907379964414</v>
      </c>
      <c r="Y86" s="29"/>
      <c r="Z86" s="4"/>
      <c r="AA86" s="30"/>
      <c r="AB86" s="29"/>
      <c r="AC86" s="4">
        <v>2</v>
      </c>
      <c r="AD86" s="256">
        <f>+AC86*('Jerarq. Riesgos Plazo'!$M$65/100+1)</f>
        <v>2.0023907379964414</v>
      </c>
      <c r="AE86" s="29"/>
      <c r="AF86" s="4"/>
      <c r="AG86" s="30"/>
    </row>
    <row r="87" spans="2:33" ht="18" x14ac:dyDescent="0.25">
      <c r="B87" s="110" t="s">
        <v>435</v>
      </c>
      <c r="C87" s="115" t="s">
        <v>728</v>
      </c>
      <c r="D87" s="112" t="s">
        <v>446</v>
      </c>
      <c r="E87" s="113" t="s">
        <v>429</v>
      </c>
      <c r="F87" s="113">
        <v>299</v>
      </c>
      <c r="G87" s="265">
        <v>2</v>
      </c>
      <c r="H87" s="114">
        <v>5500</v>
      </c>
      <c r="I87" s="129">
        <f t="shared" si="16"/>
        <v>1644500</v>
      </c>
      <c r="J87" s="343">
        <f>+K87-'Jerarq. Riesgos Plazo'!$K$77*'Aplicación proyecto JE'!K87</f>
        <v>1.8</v>
      </c>
      <c r="K87" s="4">
        <v>2</v>
      </c>
      <c r="L87" s="202">
        <f>+K87*('Jerarq. Riesgos Plazo'!$L$77+1)</f>
        <v>3.1661350927590211</v>
      </c>
      <c r="M87" s="64">
        <f>+N87*(-'Jerarq. Riesgos Costos'!$J$73+1)</f>
        <v>1315600</v>
      </c>
      <c r="N87" s="203">
        <f t="shared" si="18"/>
        <v>1644500</v>
      </c>
      <c r="O87" s="49">
        <f>+N87*('Jerarq. Riesgos Costos'!$K$73+1)</f>
        <v>2201558.9889243082</v>
      </c>
      <c r="P87" s="64">
        <f>+Q87-Q87*'Jerarq. Riesgos Plazo'!$Q$77</f>
        <v>1.8</v>
      </c>
      <c r="Q87" s="4">
        <f t="shared" si="24"/>
        <v>2</v>
      </c>
      <c r="R87" s="264">
        <f>+Q87+Q87*'Jerarq. Riesgos Plazo'!$R$77</f>
        <v>2.807171152337343</v>
      </c>
      <c r="S87" s="38">
        <f>+T87*(-'Jerarq. Riesgos Costos'!$P$73+1)</f>
        <v>1315600</v>
      </c>
      <c r="T87" s="203">
        <f t="shared" si="17"/>
        <v>1644500</v>
      </c>
      <c r="U87" s="34">
        <f>+T87*('Jerarq. Riesgos Costos'!$Q$73+1)</f>
        <v>2146010.9556972338</v>
      </c>
      <c r="V87" s="29"/>
      <c r="W87" s="4">
        <v>2</v>
      </c>
      <c r="X87" s="256">
        <f>+W87*('Jerarq. Riesgos Plazo'!$M$65/100+1)</f>
        <v>2.0023907379964414</v>
      </c>
      <c r="Y87" s="29"/>
      <c r="Z87" s="4"/>
      <c r="AA87" s="30"/>
      <c r="AB87" s="29"/>
      <c r="AC87" s="4">
        <v>2</v>
      </c>
      <c r="AD87" s="256">
        <f>+AC87*('Jerarq. Riesgos Plazo'!$M$65/100+1)</f>
        <v>2.0023907379964414</v>
      </c>
      <c r="AE87" s="29"/>
      <c r="AF87" s="4"/>
      <c r="AG87" s="30"/>
    </row>
    <row r="88" spans="2:33" ht="18" x14ac:dyDescent="0.25">
      <c r="B88" s="110" t="s">
        <v>435</v>
      </c>
      <c r="C88" s="115" t="s">
        <v>729</v>
      </c>
      <c r="D88" s="112" t="s">
        <v>447</v>
      </c>
      <c r="E88" s="113" t="s">
        <v>445</v>
      </c>
      <c r="F88" s="113">
        <v>9</v>
      </c>
      <c r="G88" s="265">
        <v>1</v>
      </c>
      <c r="H88" s="114">
        <v>35000</v>
      </c>
      <c r="I88" s="129">
        <f t="shared" si="16"/>
        <v>315000</v>
      </c>
      <c r="J88" s="343">
        <f>+K88-'Jerarq. Riesgos Plazo'!$K$77*'Aplicación proyecto JE'!K88</f>
        <v>0.9</v>
      </c>
      <c r="K88" s="4">
        <v>1</v>
      </c>
      <c r="L88" s="202">
        <f>+K88*('Jerarq. Riesgos Plazo'!$L$77+1)</f>
        <v>1.5830675463795105</v>
      </c>
      <c r="M88" s="64">
        <f>+N88*(-'Jerarq. Riesgos Costos'!$J$73+1)</f>
        <v>252000</v>
      </c>
      <c r="N88" s="203">
        <f t="shared" si="18"/>
        <v>315000</v>
      </c>
      <c r="O88" s="49">
        <f>+N88*('Jerarq. Riesgos Costos'!$K$73+1)</f>
        <v>421703.30283439165</v>
      </c>
      <c r="P88" s="64">
        <f>+Q88-Q88*'Jerarq. Riesgos Plazo'!$Q$77</f>
        <v>0.9</v>
      </c>
      <c r="Q88" s="4">
        <f t="shared" si="24"/>
        <v>1</v>
      </c>
      <c r="R88" s="264">
        <f>+Q88+Q88*'Jerarq. Riesgos Plazo'!$R$77</f>
        <v>1.4035855761686715</v>
      </c>
      <c r="S88" s="38">
        <f>+T88*(-'Jerarq. Riesgos Costos'!$P$73+1)</f>
        <v>252000</v>
      </c>
      <c r="T88" s="203">
        <f t="shared" si="17"/>
        <v>315000</v>
      </c>
      <c r="U88" s="34">
        <f>+T88*('Jerarq. Riesgos Costos'!$Q$73+1)</f>
        <v>411063.21133756684</v>
      </c>
      <c r="V88" s="29"/>
      <c r="W88" s="4">
        <v>1</v>
      </c>
      <c r="X88" s="256">
        <f>+W88*('Jerarq. Riesgos Plazo'!$M$65/100+1)</f>
        <v>1.0011953689982207</v>
      </c>
      <c r="Y88" s="29"/>
      <c r="Z88" s="4"/>
      <c r="AA88" s="30"/>
      <c r="AB88" s="29"/>
      <c r="AC88" s="4">
        <v>1</v>
      </c>
      <c r="AD88" s="256">
        <f>+AC88*('Jerarq. Riesgos Plazo'!$M$65/100+1)</f>
        <v>1.0011953689982207</v>
      </c>
      <c r="AE88" s="29"/>
      <c r="AF88" s="4"/>
      <c r="AG88" s="30"/>
    </row>
    <row r="89" spans="2:33" ht="18" x14ac:dyDescent="0.25">
      <c r="B89" s="110" t="s">
        <v>435</v>
      </c>
      <c r="C89" s="115" t="s">
        <v>730</v>
      </c>
      <c r="D89" s="112" t="s">
        <v>448</v>
      </c>
      <c r="E89" s="113" t="s">
        <v>429</v>
      </c>
      <c r="F89" s="113">
        <v>220</v>
      </c>
      <c r="G89" s="265">
        <v>0.3</v>
      </c>
      <c r="H89" s="114">
        <v>4000</v>
      </c>
      <c r="I89" s="129">
        <f t="shared" si="16"/>
        <v>880000</v>
      </c>
      <c r="J89" s="343">
        <f>+K89-'Jerarq. Riesgos Plazo'!$K$77*'Aplicación proyecto JE'!K89</f>
        <v>0.27</v>
      </c>
      <c r="K89" s="4">
        <v>0.3</v>
      </c>
      <c r="L89" s="202">
        <f>+K89*('Jerarq. Riesgos Plazo'!$L$77+1)</f>
        <v>0.47492026391385311</v>
      </c>
      <c r="M89" s="64">
        <f>+N89*(-'Jerarq. Riesgos Costos'!$J$73+1)</f>
        <v>704000</v>
      </c>
      <c r="N89" s="203">
        <f t="shared" si="18"/>
        <v>880000</v>
      </c>
      <c r="O89" s="49">
        <f>+N89*('Jerarq. Riesgos Costos'!$K$73+1)</f>
        <v>1178091.7666484592</v>
      </c>
      <c r="P89" s="64">
        <f>+Q89-Q89*'Jerarq. Riesgos Plazo'!$Q$77</f>
        <v>0.27</v>
      </c>
      <c r="Q89" s="4">
        <f t="shared" si="24"/>
        <v>0.3</v>
      </c>
      <c r="R89" s="264">
        <f>+Q89+Q89*'Jerarq. Riesgos Plazo'!$R$77</f>
        <v>0.42107567285060143</v>
      </c>
      <c r="S89" s="38">
        <f>+T89*(-'Jerarq. Riesgos Costos'!$P$73+1)</f>
        <v>704000</v>
      </c>
      <c r="T89" s="203">
        <f t="shared" si="17"/>
        <v>880000</v>
      </c>
      <c r="U89" s="34">
        <f>+T89*('Jerarq. Riesgos Costos'!$Q$73+1)</f>
        <v>1148367.0665938375</v>
      </c>
      <c r="V89" s="29"/>
      <c r="W89" s="4">
        <v>0.3</v>
      </c>
      <c r="X89" s="256">
        <f>+W89*('Jerarq. Riesgos Plazo'!$M$65/100+1)</f>
        <v>0.30035861069946618</v>
      </c>
      <c r="Y89" s="29"/>
      <c r="Z89" s="4"/>
      <c r="AA89" s="30"/>
      <c r="AB89" s="29"/>
      <c r="AC89" s="4">
        <v>0.3</v>
      </c>
      <c r="AD89" s="256">
        <f>+AC89*('Jerarq. Riesgos Plazo'!$M$65/100+1)</f>
        <v>0.30035861069946618</v>
      </c>
      <c r="AE89" s="29"/>
      <c r="AF89" s="4"/>
      <c r="AG89" s="30"/>
    </row>
    <row r="90" spans="2:33" ht="18" x14ac:dyDescent="0.25">
      <c r="B90" s="251" t="s">
        <v>656</v>
      </c>
      <c r="C90" s="251" t="s">
        <v>462</v>
      </c>
      <c r="D90" s="252" t="s">
        <v>498</v>
      </c>
      <c r="E90" s="253"/>
      <c r="F90" s="254"/>
      <c r="G90" s="261">
        <f>+SUM(G91:G109)</f>
        <v>10.399999999999999</v>
      </c>
      <c r="H90" s="255"/>
      <c r="I90" s="256">
        <f t="shared" ref="I90:O90" si="27">+SUM(I91:I109)</f>
        <v>21943500</v>
      </c>
      <c r="J90" s="261">
        <f t="shared" si="27"/>
        <v>9.3600000000000012</v>
      </c>
      <c r="K90" s="261">
        <f t="shared" si="27"/>
        <v>10.399999999999999</v>
      </c>
      <c r="L90" s="256">
        <f t="shared" si="27"/>
        <v>16.46390248234691</v>
      </c>
      <c r="M90" s="260">
        <f t="shared" si="27"/>
        <v>19749150</v>
      </c>
      <c r="N90" s="261">
        <f t="shared" si="27"/>
        <v>21943500</v>
      </c>
      <c r="O90" s="262">
        <f t="shared" si="27"/>
        <v>27401740.319830079</v>
      </c>
      <c r="P90" s="260">
        <f t="shared" ref="P90:U90" si="28">+SUM(P91:P109)</f>
        <v>9.3600000000000012</v>
      </c>
      <c r="Q90" s="261">
        <f t="shared" si="28"/>
        <v>10.399999999999999</v>
      </c>
      <c r="R90" s="262">
        <f t="shared" si="28"/>
        <v>14.597289992154185</v>
      </c>
      <c r="S90" s="368">
        <f t="shared" si="28"/>
        <v>19749150</v>
      </c>
      <c r="T90" s="261">
        <f t="shared" si="28"/>
        <v>21943500</v>
      </c>
      <c r="U90" s="262">
        <f t="shared" si="28"/>
        <v>27757706.279320311</v>
      </c>
      <c r="V90" s="260">
        <v>8</v>
      </c>
      <c r="W90" s="261">
        <f>+SUM(W91:W109)</f>
        <v>10.399999999999999</v>
      </c>
      <c r="X90" s="256">
        <f>+W90*('Jerarq. Riesgos Plazo'!$M$65/100+1)</f>
        <v>10.412431837581494</v>
      </c>
      <c r="Y90" s="260"/>
      <c r="Z90" s="261"/>
      <c r="AA90" s="262"/>
      <c r="AB90" s="260">
        <v>8</v>
      </c>
      <c r="AC90" s="261">
        <f>+SUM(AC91:AC109)</f>
        <v>10.399999999999999</v>
      </c>
      <c r="AD90" s="256">
        <f>+AC90*('Jerarq. Riesgos Plazo'!$M$65/100+1)</f>
        <v>10.412431837581494</v>
      </c>
      <c r="AE90" s="260"/>
      <c r="AF90" s="261"/>
      <c r="AG90" s="262"/>
    </row>
    <row r="91" spans="2:33" ht="18" x14ac:dyDescent="0.25">
      <c r="B91" s="110" t="s">
        <v>499</v>
      </c>
      <c r="C91" s="115" t="s">
        <v>731</v>
      </c>
      <c r="D91" s="112" t="s">
        <v>500</v>
      </c>
      <c r="E91" s="113" t="s">
        <v>453</v>
      </c>
      <c r="F91" s="113">
        <v>3</v>
      </c>
      <c r="G91" s="265">
        <v>0.1</v>
      </c>
      <c r="H91" s="114">
        <v>25000</v>
      </c>
      <c r="I91" s="129">
        <f t="shared" si="16"/>
        <v>75000</v>
      </c>
      <c r="J91" s="343">
        <f>+K91-'Jerarq. Riesgos Plazo'!$K$77*'Aplicación proyecto JE'!K91</f>
        <v>0.09</v>
      </c>
      <c r="K91" s="4">
        <v>0.1</v>
      </c>
      <c r="L91" s="202">
        <f>+K91*('Jerarq. Riesgos Plazo'!$L$77+1)</f>
        <v>0.15830675463795107</v>
      </c>
      <c r="M91" s="64">
        <f>+N91*(-'Jerarq. Riesgos Costos'!$J$76+1)</f>
        <v>67500</v>
      </c>
      <c r="N91" s="203">
        <f t="shared" si="18"/>
        <v>75000</v>
      </c>
      <c r="O91" s="49">
        <f>+N91*('Jerarq. Riesgos Costos'!$K$76+1)</f>
        <v>93655.548293902786</v>
      </c>
      <c r="P91" s="64">
        <f>+Q91-Q91*'Jerarq. Riesgos Plazo'!$Q$77</f>
        <v>0.09</v>
      </c>
      <c r="Q91" s="4">
        <f t="shared" si="24"/>
        <v>0.1</v>
      </c>
      <c r="R91" s="264">
        <f>+Q91+Q91*'Jerarq. Riesgos Plazo'!$R$77</f>
        <v>0.14035855761686716</v>
      </c>
      <c r="S91" s="38">
        <f>+T91*(-'Jerarq. Riesgos Costos'!$P$76+1)</f>
        <v>67500</v>
      </c>
      <c r="T91" s="203">
        <f t="shared" si="17"/>
        <v>75000</v>
      </c>
      <c r="U91" s="34">
        <f>+T91*('Jerarq. Riesgos Costos'!$Q$76+1)</f>
        <v>94872.193175611159</v>
      </c>
      <c r="V91" s="29"/>
      <c r="W91" s="4">
        <v>0.1</v>
      </c>
      <c r="X91" s="256">
        <f>+W91*('Jerarq. Riesgos Plazo'!$M$65/100+1)</f>
        <v>0.10011953689982207</v>
      </c>
      <c r="Y91" s="29"/>
      <c r="Z91" s="4"/>
      <c r="AA91" s="30"/>
      <c r="AB91" s="29"/>
      <c r="AC91" s="4">
        <v>0.1</v>
      </c>
      <c r="AD91" s="256">
        <f>+AC91*('Jerarq. Riesgos Plazo'!$M$65/100+1)</f>
        <v>0.10011953689982207</v>
      </c>
      <c r="AE91" s="29"/>
      <c r="AF91" s="4"/>
      <c r="AG91" s="30"/>
    </row>
    <row r="92" spans="2:33" ht="18" x14ac:dyDescent="0.25">
      <c r="B92" s="110" t="s">
        <v>499</v>
      </c>
      <c r="C92" s="115" t="s">
        <v>732</v>
      </c>
      <c r="D92" s="112" t="s">
        <v>501</v>
      </c>
      <c r="E92" s="113" t="s">
        <v>453</v>
      </c>
      <c r="F92" s="113">
        <v>3</v>
      </c>
      <c r="G92" s="265">
        <v>0.2</v>
      </c>
      <c r="H92" s="114">
        <v>25000</v>
      </c>
      <c r="I92" s="129">
        <f t="shared" ref="I92:I109" si="29">+F92*H92</f>
        <v>75000</v>
      </c>
      <c r="J92" s="343">
        <f>+K92-'Jerarq. Riesgos Plazo'!$K$77*'Aplicación proyecto JE'!K92</f>
        <v>0.18</v>
      </c>
      <c r="K92" s="4">
        <v>0.2</v>
      </c>
      <c r="L92" s="202">
        <f>+K92*('Jerarq. Riesgos Plazo'!$L$77+1)</f>
        <v>0.31661350927590215</v>
      </c>
      <c r="M92" s="64">
        <f>+N92*(-'Jerarq. Riesgos Costos'!$J$76+1)</f>
        <v>67500</v>
      </c>
      <c r="N92" s="203">
        <f t="shared" si="18"/>
        <v>75000</v>
      </c>
      <c r="O92" s="49">
        <f>+N92*('Jerarq. Riesgos Costos'!$K$76+1)</f>
        <v>93655.548293902786</v>
      </c>
      <c r="P92" s="64">
        <f>+Q92-Q92*'Jerarq. Riesgos Plazo'!$Q$77</f>
        <v>0.18</v>
      </c>
      <c r="Q92" s="4">
        <f t="shared" si="24"/>
        <v>0.2</v>
      </c>
      <c r="R92" s="264">
        <f>+Q92+Q92*'Jerarq. Riesgos Plazo'!$R$77</f>
        <v>0.28071711523373433</v>
      </c>
      <c r="S92" s="38">
        <f>+T92*(-'Jerarq. Riesgos Costos'!$P$76+1)</f>
        <v>67500</v>
      </c>
      <c r="T92" s="203">
        <f t="shared" ref="T92:T148" si="30">+N92</f>
        <v>75000</v>
      </c>
      <c r="U92" s="34">
        <f>+T92*('Jerarq. Riesgos Costos'!$Q$76+1)</f>
        <v>94872.193175611159</v>
      </c>
      <c r="V92" s="29"/>
      <c r="W92" s="4">
        <v>0.2</v>
      </c>
      <c r="X92" s="256">
        <f>+W92*('Jerarq. Riesgos Plazo'!$M$65/100+1)</f>
        <v>0.20023907379964415</v>
      </c>
      <c r="Y92" s="29"/>
      <c r="Z92" s="4"/>
      <c r="AA92" s="30"/>
      <c r="AB92" s="29"/>
      <c r="AC92" s="4">
        <v>0.2</v>
      </c>
      <c r="AD92" s="256">
        <f>+AC92*('Jerarq. Riesgos Plazo'!$M$65/100+1)</f>
        <v>0.20023907379964415</v>
      </c>
      <c r="AE92" s="29"/>
      <c r="AF92" s="4"/>
      <c r="AG92" s="30"/>
    </row>
    <row r="93" spans="2:33" ht="18" x14ac:dyDescent="0.25">
      <c r="B93" s="110" t="s">
        <v>499</v>
      </c>
      <c r="C93" s="115" t="s">
        <v>733</v>
      </c>
      <c r="D93" s="112" t="s">
        <v>502</v>
      </c>
      <c r="E93" s="113" t="s">
        <v>453</v>
      </c>
      <c r="F93" s="113">
        <v>1</v>
      </c>
      <c r="G93" s="265">
        <v>0.1</v>
      </c>
      <c r="H93" s="114">
        <v>125000</v>
      </c>
      <c r="I93" s="129">
        <f t="shared" si="29"/>
        <v>125000</v>
      </c>
      <c r="J93" s="343">
        <f>+K93-'Jerarq. Riesgos Plazo'!$K$77*'Aplicación proyecto JE'!K93</f>
        <v>0.09</v>
      </c>
      <c r="K93" s="4">
        <v>0.1</v>
      </c>
      <c r="L93" s="202">
        <f>+K93*('Jerarq. Riesgos Plazo'!$L$77+1)</f>
        <v>0.15830675463795107</v>
      </c>
      <c r="M93" s="64">
        <f>+N93*(-'Jerarq. Riesgos Costos'!$J$76+1)</f>
        <v>112500</v>
      </c>
      <c r="N93" s="203">
        <f t="shared" ref="N93:N109" si="31">+I93</f>
        <v>125000</v>
      </c>
      <c r="O93" s="49">
        <f>+N93*('Jerarq. Riesgos Costos'!$K$76+1)</f>
        <v>156092.58048983797</v>
      </c>
      <c r="P93" s="64">
        <f>+Q93-Q93*'Jerarq. Riesgos Plazo'!$Q$77</f>
        <v>0.09</v>
      </c>
      <c r="Q93" s="4">
        <f t="shared" si="24"/>
        <v>0.1</v>
      </c>
      <c r="R93" s="264">
        <f>+Q93+Q93*'Jerarq. Riesgos Plazo'!$R$77</f>
        <v>0.14035855761686716</v>
      </c>
      <c r="S93" s="38">
        <f>+T93*(-'Jerarq. Riesgos Costos'!$P$76+1)</f>
        <v>112500</v>
      </c>
      <c r="T93" s="203">
        <f t="shared" si="30"/>
        <v>125000</v>
      </c>
      <c r="U93" s="34">
        <f>+T93*('Jerarq. Riesgos Costos'!$Q$76+1)</f>
        <v>158120.32195935195</v>
      </c>
      <c r="V93" s="29"/>
      <c r="W93" s="4">
        <v>0.1</v>
      </c>
      <c r="X93" s="256">
        <f>+W93*('Jerarq. Riesgos Plazo'!$M$65/100+1)</f>
        <v>0.10011953689982207</v>
      </c>
      <c r="Y93" s="29"/>
      <c r="Z93" s="4"/>
      <c r="AA93" s="30"/>
      <c r="AB93" s="29"/>
      <c r="AC93" s="4">
        <v>0.1</v>
      </c>
      <c r="AD93" s="256">
        <f>+AC93*('Jerarq. Riesgos Plazo'!$M$65/100+1)</f>
        <v>0.10011953689982207</v>
      </c>
      <c r="AE93" s="29"/>
      <c r="AF93" s="4"/>
      <c r="AG93" s="30"/>
    </row>
    <row r="94" spans="2:33" ht="18" x14ac:dyDescent="0.25">
      <c r="B94" s="110" t="s">
        <v>499</v>
      </c>
      <c r="C94" s="115" t="s">
        <v>734</v>
      </c>
      <c r="D94" s="112" t="s">
        <v>503</v>
      </c>
      <c r="E94" s="113" t="s">
        <v>472</v>
      </c>
      <c r="F94" s="113">
        <v>250</v>
      </c>
      <c r="G94" s="265">
        <v>0.6</v>
      </c>
      <c r="H94" s="114">
        <v>4000</v>
      </c>
      <c r="I94" s="129">
        <f t="shared" si="29"/>
        <v>1000000</v>
      </c>
      <c r="J94" s="343">
        <f>+K94-'Jerarq. Riesgos Plazo'!$K$77*'Aplicación proyecto JE'!K94</f>
        <v>0.54</v>
      </c>
      <c r="K94" s="4">
        <v>0.6</v>
      </c>
      <c r="L94" s="202">
        <f>+K94*('Jerarq. Riesgos Plazo'!$L$77+1)</f>
        <v>0.94984052782770623</v>
      </c>
      <c r="M94" s="64">
        <f>+N94*(-'Jerarq. Riesgos Costos'!$J$76+1)</f>
        <v>900000</v>
      </c>
      <c r="N94" s="203">
        <f t="shared" si="31"/>
        <v>1000000</v>
      </c>
      <c r="O94" s="49">
        <f>+N94*('Jerarq. Riesgos Costos'!$K$76+1)</f>
        <v>1248740.6439187038</v>
      </c>
      <c r="P94" s="64">
        <f>+Q94-Q94*'Jerarq. Riesgos Plazo'!$Q$77</f>
        <v>0.54</v>
      </c>
      <c r="Q94" s="4">
        <f t="shared" si="24"/>
        <v>0.6</v>
      </c>
      <c r="R94" s="264">
        <f>+Q94+Q94*'Jerarq. Riesgos Plazo'!$R$77</f>
        <v>0.84215134570120287</v>
      </c>
      <c r="S94" s="38">
        <f>+T94*(-'Jerarq. Riesgos Costos'!$P$76+1)</f>
        <v>900000</v>
      </c>
      <c r="T94" s="203">
        <f t="shared" si="30"/>
        <v>1000000</v>
      </c>
      <c r="U94" s="34">
        <f>+T94*('Jerarq. Riesgos Costos'!$Q$76+1)</f>
        <v>1264962.5756748156</v>
      </c>
      <c r="V94" s="29"/>
      <c r="W94" s="4">
        <v>0.6</v>
      </c>
      <c r="X94" s="256">
        <f>+W94*('Jerarq. Riesgos Plazo'!$M$65/100+1)</f>
        <v>0.60071722139893236</v>
      </c>
      <c r="Y94" s="29"/>
      <c r="Z94" s="4"/>
      <c r="AA94" s="30"/>
      <c r="AB94" s="29"/>
      <c r="AC94" s="4">
        <v>0.6</v>
      </c>
      <c r="AD94" s="256">
        <f>+AC94*('Jerarq. Riesgos Plazo'!$M$65/100+1)</f>
        <v>0.60071722139893236</v>
      </c>
      <c r="AE94" s="29"/>
      <c r="AF94" s="4"/>
      <c r="AG94" s="30"/>
    </row>
    <row r="95" spans="2:33" ht="18" x14ac:dyDescent="0.25">
      <c r="B95" s="110" t="s">
        <v>499</v>
      </c>
      <c r="C95" s="115" t="s">
        <v>735</v>
      </c>
      <c r="D95" s="112" t="s">
        <v>504</v>
      </c>
      <c r="E95" s="113" t="s">
        <v>472</v>
      </c>
      <c r="F95" s="113">
        <v>250</v>
      </c>
      <c r="G95" s="265">
        <v>0.5</v>
      </c>
      <c r="H95" s="114">
        <v>14749</v>
      </c>
      <c r="I95" s="129">
        <f t="shared" si="29"/>
        <v>3687250</v>
      </c>
      <c r="J95" s="343">
        <f>+K95-'Jerarq. Riesgos Plazo'!$K$77*'Aplicación proyecto JE'!K95</f>
        <v>0.45</v>
      </c>
      <c r="K95" s="4">
        <v>0.5</v>
      </c>
      <c r="L95" s="202">
        <f>+K95*('Jerarq. Riesgos Plazo'!$L$77+1)</f>
        <v>0.79153377318975526</v>
      </c>
      <c r="M95" s="64">
        <f>+N95*(-'Jerarq. Riesgos Costos'!$J$76+1)</f>
        <v>3318525</v>
      </c>
      <c r="N95" s="203">
        <f t="shared" si="31"/>
        <v>3687250</v>
      </c>
      <c r="O95" s="49">
        <f>+N95*('Jerarq. Riesgos Costos'!$K$76+1)</f>
        <v>4604418.9392892411</v>
      </c>
      <c r="P95" s="64">
        <f>+Q95-Q95*'Jerarq. Riesgos Plazo'!$Q$77</f>
        <v>0.45</v>
      </c>
      <c r="Q95" s="4">
        <f t="shared" si="24"/>
        <v>0.5</v>
      </c>
      <c r="R95" s="264">
        <f>+Q95+Q95*'Jerarq. Riesgos Plazo'!$R$77</f>
        <v>0.70179278808433576</v>
      </c>
      <c r="S95" s="38">
        <f>+T95*(-'Jerarq. Riesgos Costos'!$P$76+1)</f>
        <v>3318525</v>
      </c>
      <c r="T95" s="203">
        <f t="shared" si="30"/>
        <v>3687250</v>
      </c>
      <c r="U95" s="34">
        <f>+T95*('Jerarq. Riesgos Costos'!$Q$76+1)</f>
        <v>4664233.2571569635</v>
      </c>
      <c r="V95" s="29"/>
      <c r="W95" s="4">
        <v>0.5</v>
      </c>
      <c r="X95" s="256">
        <f>+W95*('Jerarq. Riesgos Plazo'!$M$65/100+1)</f>
        <v>0.50059768449911035</v>
      </c>
      <c r="Y95" s="29"/>
      <c r="Z95" s="4"/>
      <c r="AA95" s="30"/>
      <c r="AB95" s="29"/>
      <c r="AC95" s="4">
        <v>0.5</v>
      </c>
      <c r="AD95" s="256">
        <f>+AC95*('Jerarq. Riesgos Plazo'!$M$65/100+1)</f>
        <v>0.50059768449911035</v>
      </c>
      <c r="AE95" s="29"/>
      <c r="AF95" s="4"/>
      <c r="AG95" s="30"/>
    </row>
    <row r="96" spans="2:33" ht="18" x14ac:dyDescent="0.25">
      <c r="B96" s="110" t="s">
        <v>499</v>
      </c>
      <c r="C96" s="115" t="s">
        <v>736</v>
      </c>
      <c r="D96" s="112" t="s">
        <v>663</v>
      </c>
      <c r="E96" s="113" t="s">
        <v>453</v>
      </c>
      <c r="F96" s="113">
        <v>10</v>
      </c>
      <c r="G96" s="265">
        <v>0.3</v>
      </c>
      <c r="H96" s="114">
        <v>50000</v>
      </c>
      <c r="I96" s="129">
        <f t="shared" si="29"/>
        <v>500000</v>
      </c>
      <c r="J96" s="343">
        <f>+K96-'Jerarq. Riesgos Plazo'!$K$77*'Aplicación proyecto JE'!K96</f>
        <v>0.27</v>
      </c>
      <c r="K96" s="4">
        <v>0.3</v>
      </c>
      <c r="L96" s="202">
        <f>+K96*('Jerarq. Riesgos Plazo'!$L$77+1)</f>
        <v>0.47492026391385311</v>
      </c>
      <c r="M96" s="64">
        <f>+N96*(-'Jerarq. Riesgos Costos'!$J$76+1)</f>
        <v>450000</v>
      </c>
      <c r="N96" s="203">
        <f t="shared" si="31"/>
        <v>500000</v>
      </c>
      <c r="O96" s="49">
        <f>+N96*('Jerarq. Riesgos Costos'!$K$76+1)</f>
        <v>624370.32195935189</v>
      </c>
      <c r="P96" s="64">
        <f>+Q96-Q96*'Jerarq. Riesgos Plazo'!$Q$77</f>
        <v>0.27</v>
      </c>
      <c r="Q96" s="4">
        <f t="shared" si="24"/>
        <v>0.3</v>
      </c>
      <c r="R96" s="264">
        <f>+Q96+Q96*'Jerarq. Riesgos Plazo'!$R$77</f>
        <v>0.42107567285060143</v>
      </c>
      <c r="S96" s="38">
        <f>+T96*(-'Jerarq. Riesgos Costos'!$P$76+1)</f>
        <v>450000</v>
      </c>
      <c r="T96" s="203">
        <f t="shared" si="30"/>
        <v>500000</v>
      </c>
      <c r="U96" s="34">
        <f>+T96*('Jerarq. Riesgos Costos'!$Q$76+1)</f>
        <v>632481.28783740778</v>
      </c>
      <c r="V96" s="29"/>
      <c r="W96" s="4">
        <v>0.3</v>
      </c>
      <c r="X96" s="256">
        <f>+W96*('Jerarq. Riesgos Plazo'!$M$65/100+1)</f>
        <v>0.30035861069946618</v>
      </c>
      <c r="Y96" s="29"/>
      <c r="Z96" s="4"/>
      <c r="AA96" s="30"/>
      <c r="AB96" s="29"/>
      <c r="AC96" s="4">
        <v>0.3</v>
      </c>
      <c r="AD96" s="256">
        <f>+AC96*('Jerarq. Riesgos Plazo'!$M$65/100+1)</f>
        <v>0.30035861069946618</v>
      </c>
      <c r="AE96" s="29"/>
      <c r="AF96" s="4"/>
      <c r="AG96" s="30"/>
    </row>
    <row r="97" spans="2:33" ht="18" x14ac:dyDescent="0.25">
      <c r="B97" s="110" t="s">
        <v>499</v>
      </c>
      <c r="C97" s="115" t="s">
        <v>737</v>
      </c>
      <c r="D97" s="112" t="s">
        <v>515</v>
      </c>
      <c r="E97" s="113" t="s">
        <v>472</v>
      </c>
      <c r="F97" s="113">
        <v>30</v>
      </c>
      <c r="G97" s="265">
        <v>0.1</v>
      </c>
      <c r="H97" s="114">
        <v>12000</v>
      </c>
      <c r="I97" s="129">
        <f t="shared" si="29"/>
        <v>360000</v>
      </c>
      <c r="J97" s="343">
        <f>+K97-'Jerarq. Riesgos Plazo'!$K$77*'Aplicación proyecto JE'!K97</f>
        <v>0.09</v>
      </c>
      <c r="K97" s="4">
        <v>0.1</v>
      </c>
      <c r="L97" s="202">
        <f>+K97*('Jerarq. Riesgos Plazo'!$L$77+1)</f>
        <v>0.15830675463795107</v>
      </c>
      <c r="M97" s="64">
        <f>+N97*(-'Jerarq. Riesgos Costos'!$J$76+1)</f>
        <v>324000</v>
      </c>
      <c r="N97" s="203">
        <f t="shared" si="31"/>
        <v>360000</v>
      </c>
      <c r="O97" s="49">
        <f>+N97*('Jerarq. Riesgos Costos'!$K$76+1)</f>
        <v>449546.63181073341</v>
      </c>
      <c r="P97" s="64">
        <f>+Q97-Q97*'Jerarq. Riesgos Plazo'!$Q$77</f>
        <v>0.09</v>
      </c>
      <c r="Q97" s="4">
        <f t="shared" si="24"/>
        <v>0.1</v>
      </c>
      <c r="R97" s="264">
        <f>+Q97+Q97*'Jerarq. Riesgos Plazo'!$R$77</f>
        <v>0.14035855761686716</v>
      </c>
      <c r="S97" s="38">
        <f>+T97*(-'Jerarq. Riesgos Costos'!$P$76+1)</f>
        <v>324000</v>
      </c>
      <c r="T97" s="203">
        <f t="shared" si="30"/>
        <v>360000</v>
      </c>
      <c r="U97" s="34">
        <f>+T97*('Jerarq. Riesgos Costos'!$Q$76+1)</f>
        <v>455386.52724293357</v>
      </c>
      <c r="V97" s="29"/>
      <c r="W97" s="4">
        <v>0.1</v>
      </c>
      <c r="X97" s="256">
        <f>+W97*('Jerarq. Riesgos Plazo'!$M$65/100+1)</f>
        <v>0.10011953689982207</v>
      </c>
      <c r="Y97" s="29"/>
      <c r="Z97" s="4"/>
      <c r="AA97" s="30"/>
      <c r="AB97" s="29"/>
      <c r="AC97" s="4">
        <v>0.1</v>
      </c>
      <c r="AD97" s="256">
        <f>+AC97*('Jerarq. Riesgos Plazo'!$M$65/100+1)</f>
        <v>0.10011953689982207</v>
      </c>
      <c r="AE97" s="29"/>
      <c r="AF97" s="4"/>
      <c r="AG97" s="30"/>
    </row>
    <row r="98" spans="2:33" ht="18" x14ac:dyDescent="0.25">
      <c r="B98" s="110" t="s">
        <v>499</v>
      </c>
      <c r="C98" s="115" t="s">
        <v>738</v>
      </c>
      <c r="D98" s="112" t="s">
        <v>505</v>
      </c>
      <c r="E98" s="113" t="s">
        <v>453</v>
      </c>
      <c r="F98" s="113">
        <v>1</v>
      </c>
      <c r="G98" s="265">
        <v>0.1</v>
      </c>
      <c r="H98" s="114">
        <v>50000</v>
      </c>
      <c r="I98" s="129">
        <f t="shared" si="29"/>
        <v>50000</v>
      </c>
      <c r="J98" s="343">
        <f>+K98-'Jerarq. Riesgos Plazo'!$K$77*'Aplicación proyecto JE'!K98</f>
        <v>0.09</v>
      </c>
      <c r="K98" s="4">
        <v>0.1</v>
      </c>
      <c r="L98" s="202">
        <f>+K98*('Jerarq. Riesgos Plazo'!$L$77+1)</f>
        <v>0.15830675463795107</v>
      </c>
      <c r="M98" s="64">
        <f>+N98*(-'Jerarq. Riesgos Costos'!$J$76+1)</f>
        <v>45000</v>
      </c>
      <c r="N98" s="203">
        <f t="shared" si="31"/>
        <v>50000</v>
      </c>
      <c r="O98" s="49">
        <f>+N98*('Jerarq. Riesgos Costos'!$K$76+1)</f>
        <v>62437.032195935193</v>
      </c>
      <c r="P98" s="64">
        <f>+Q98-Q98*'Jerarq. Riesgos Plazo'!$Q$77</f>
        <v>0.09</v>
      </c>
      <c r="Q98" s="4">
        <f t="shared" si="24"/>
        <v>0.1</v>
      </c>
      <c r="R98" s="264">
        <f>+Q98+Q98*'Jerarq. Riesgos Plazo'!$R$77</f>
        <v>0.14035855761686716</v>
      </c>
      <c r="S98" s="38">
        <f>+T98*(-'Jerarq. Riesgos Costos'!$P$76+1)</f>
        <v>45000</v>
      </c>
      <c r="T98" s="203">
        <f t="shared" si="30"/>
        <v>50000</v>
      </c>
      <c r="U98" s="34">
        <f>+T98*('Jerarq. Riesgos Costos'!$Q$76+1)</f>
        <v>63248.128783740773</v>
      </c>
      <c r="V98" s="29"/>
      <c r="W98" s="4">
        <v>0.1</v>
      </c>
      <c r="X98" s="256">
        <f>+W98*('Jerarq. Riesgos Plazo'!$M$65/100+1)</f>
        <v>0.10011953689982207</v>
      </c>
      <c r="Y98" s="29"/>
      <c r="Z98" s="4"/>
      <c r="AA98" s="30"/>
      <c r="AB98" s="29"/>
      <c r="AC98" s="4">
        <v>0.1</v>
      </c>
      <c r="AD98" s="256">
        <f>+AC98*('Jerarq. Riesgos Plazo'!$M$65/100+1)</f>
        <v>0.10011953689982207</v>
      </c>
      <c r="AE98" s="29"/>
      <c r="AF98" s="4"/>
      <c r="AG98" s="30"/>
    </row>
    <row r="99" spans="2:33" ht="18" x14ac:dyDescent="0.25">
      <c r="B99" s="110" t="s">
        <v>499</v>
      </c>
      <c r="C99" s="115" t="s">
        <v>739</v>
      </c>
      <c r="D99" s="112" t="s">
        <v>506</v>
      </c>
      <c r="E99" s="113" t="s">
        <v>472</v>
      </c>
      <c r="F99" s="113">
        <v>250</v>
      </c>
      <c r="G99" s="265">
        <v>2</v>
      </c>
      <c r="H99" s="114">
        <v>14749</v>
      </c>
      <c r="I99" s="129">
        <f t="shared" si="29"/>
        <v>3687250</v>
      </c>
      <c r="J99" s="343">
        <f>+K99-'Jerarq. Riesgos Plazo'!$K$77*'Aplicación proyecto JE'!K99</f>
        <v>1.8</v>
      </c>
      <c r="K99" s="4">
        <v>2</v>
      </c>
      <c r="L99" s="202">
        <f>+K99*('Jerarq. Riesgos Plazo'!$L$77+1)</f>
        <v>3.1661350927590211</v>
      </c>
      <c r="M99" s="64">
        <f>+N99*(-'Jerarq. Riesgos Costos'!$J$76+1)</f>
        <v>3318525</v>
      </c>
      <c r="N99" s="203">
        <f t="shared" si="31"/>
        <v>3687250</v>
      </c>
      <c r="O99" s="49">
        <f>+N99*('Jerarq. Riesgos Costos'!$K$76+1)</f>
        <v>4604418.9392892411</v>
      </c>
      <c r="P99" s="64">
        <f>+Q99-Q99*'Jerarq. Riesgos Plazo'!$Q$77</f>
        <v>1.8</v>
      </c>
      <c r="Q99" s="4">
        <f t="shared" si="24"/>
        <v>2</v>
      </c>
      <c r="R99" s="264">
        <f>+Q99+Q99*'Jerarq. Riesgos Plazo'!$R$77</f>
        <v>2.807171152337343</v>
      </c>
      <c r="S99" s="38">
        <f>+T99*(-'Jerarq. Riesgos Costos'!$P$76+1)</f>
        <v>3318525</v>
      </c>
      <c r="T99" s="203">
        <f t="shared" si="30"/>
        <v>3687250</v>
      </c>
      <c r="U99" s="34">
        <f>+T99*('Jerarq. Riesgos Costos'!$Q$76+1)</f>
        <v>4664233.2571569635</v>
      </c>
      <c r="V99" s="29"/>
      <c r="W99" s="4">
        <v>2</v>
      </c>
      <c r="X99" s="256">
        <f>+W99*('Jerarq. Riesgos Plazo'!$M$65/100+1)</f>
        <v>2.0023907379964414</v>
      </c>
      <c r="Y99" s="29"/>
      <c r="Z99" s="4"/>
      <c r="AA99" s="30"/>
      <c r="AB99" s="29"/>
      <c r="AC99" s="4">
        <v>2</v>
      </c>
      <c r="AD99" s="256">
        <f>+AC99*('Jerarq. Riesgos Plazo'!$M$65/100+1)</f>
        <v>2.0023907379964414</v>
      </c>
      <c r="AE99" s="29"/>
      <c r="AF99" s="4"/>
      <c r="AG99" s="30"/>
    </row>
    <row r="100" spans="2:33" ht="18" x14ac:dyDescent="0.25">
      <c r="B100" s="110" t="s">
        <v>499</v>
      </c>
      <c r="C100" s="115" t="s">
        <v>740</v>
      </c>
      <c r="D100" s="112" t="s">
        <v>507</v>
      </c>
      <c r="E100" s="113" t="s">
        <v>472</v>
      </c>
      <c r="F100" s="113">
        <v>250</v>
      </c>
      <c r="G100" s="265">
        <v>0.1</v>
      </c>
      <c r="H100" s="114">
        <v>4000</v>
      </c>
      <c r="I100" s="129">
        <f t="shared" si="29"/>
        <v>1000000</v>
      </c>
      <c r="J100" s="343">
        <f>+K100-'Jerarq. Riesgos Plazo'!$K$77*'Aplicación proyecto JE'!K100</f>
        <v>0.09</v>
      </c>
      <c r="K100" s="4">
        <v>0.1</v>
      </c>
      <c r="L100" s="202">
        <f>+K100*('Jerarq. Riesgos Plazo'!$L$77+1)</f>
        <v>0.15830675463795107</v>
      </c>
      <c r="M100" s="64">
        <f>+N100*(-'Jerarq. Riesgos Costos'!$J$76+1)</f>
        <v>900000</v>
      </c>
      <c r="N100" s="203">
        <f t="shared" si="31"/>
        <v>1000000</v>
      </c>
      <c r="O100" s="49">
        <f>+N100*('Jerarq. Riesgos Costos'!$K$76+1)</f>
        <v>1248740.6439187038</v>
      </c>
      <c r="P100" s="64">
        <f>+Q100-Q100*'Jerarq. Riesgos Plazo'!$Q$77</f>
        <v>0.09</v>
      </c>
      <c r="Q100" s="4">
        <f t="shared" si="24"/>
        <v>0.1</v>
      </c>
      <c r="R100" s="264">
        <f>+Q100+Q100*'Jerarq. Riesgos Plazo'!$R$77</f>
        <v>0.14035855761686716</v>
      </c>
      <c r="S100" s="38">
        <f>+T100*(-'Jerarq. Riesgos Costos'!$P$76+1)</f>
        <v>900000</v>
      </c>
      <c r="T100" s="203">
        <f t="shared" si="30"/>
        <v>1000000</v>
      </c>
      <c r="U100" s="34">
        <f>+T100*('Jerarq. Riesgos Costos'!$Q$76+1)</f>
        <v>1264962.5756748156</v>
      </c>
      <c r="V100" s="29"/>
      <c r="W100" s="4">
        <v>0.1</v>
      </c>
      <c r="X100" s="256">
        <f>+W100*('Jerarq. Riesgos Plazo'!$M$65/100+1)</f>
        <v>0.10011953689982207</v>
      </c>
      <c r="Y100" s="29"/>
      <c r="Z100" s="4"/>
      <c r="AA100" s="30"/>
      <c r="AB100" s="29"/>
      <c r="AC100" s="4">
        <v>0.1</v>
      </c>
      <c r="AD100" s="256">
        <f>+AC100*('Jerarq. Riesgos Plazo'!$M$65/100+1)</f>
        <v>0.10011953689982207</v>
      </c>
      <c r="AE100" s="29"/>
      <c r="AF100" s="4"/>
      <c r="AG100" s="30"/>
    </row>
    <row r="101" spans="2:33" ht="18" x14ac:dyDescent="0.25">
      <c r="B101" s="110" t="s">
        <v>499</v>
      </c>
      <c r="C101" s="115" t="s">
        <v>741</v>
      </c>
      <c r="D101" s="112" t="s">
        <v>508</v>
      </c>
      <c r="E101" s="113" t="s">
        <v>453</v>
      </c>
      <c r="F101" s="113">
        <v>1</v>
      </c>
      <c r="G101" s="265">
        <v>1</v>
      </c>
      <c r="H101" s="114">
        <v>100000</v>
      </c>
      <c r="I101" s="129">
        <f t="shared" si="29"/>
        <v>100000</v>
      </c>
      <c r="J101" s="343">
        <f>+K101-'Jerarq. Riesgos Plazo'!$K$77*'Aplicación proyecto JE'!K101</f>
        <v>0.9</v>
      </c>
      <c r="K101" s="4">
        <v>1</v>
      </c>
      <c r="L101" s="202">
        <f>+K101*('Jerarq. Riesgos Plazo'!$L$77+1)</f>
        <v>1.5830675463795105</v>
      </c>
      <c r="M101" s="64">
        <f>+N101*(-'Jerarq. Riesgos Costos'!$J$76+1)</f>
        <v>90000</v>
      </c>
      <c r="N101" s="203">
        <f t="shared" si="31"/>
        <v>100000</v>
      </c>
      <c r="O101" s="49">
        <f>+N101*('Jerarq. Riesgos Costos'!$K$76+1)</f>
        <v>124874.06439187039</v>
      </c>
      <c r="P101" s="64">
        <f>+Q101-Q101*'Jerarq. Riesgos Plazo'!$Q$77</f>
        <v>0.9</v>
      </c>
      <c r="Q101" s="4">
        <f t="shared" si="24"/>
        <v>1</v>
      </c>
      <c r="R101" s="264">
        <f>+Q101+Q101*'Jerarq. Riesgos Plazo'!$R$77</f>
        <v>1.4035855761686715</v>
      </c>
      <c r="S101" s="38">
        <f>+T101*(-'Jerarq. Riesgos Costos'!$P$76+1)</f>
        <v>90000</v>
      </c>
      <c r="T101" s="203">
        <f t="shared" si="30"/>
        <v>100000</v>
      </c>
      <c r="U101" s="34">
        <f>+T101*('Jerarq. Riesgos Costos'!$Q$76+1)</f>
        <v>126496.25756748155</v>
      </c>
      <c r="V101" s="29"/>
      <c r="W101" s="4">
        <v>1</v>
      </c>
      <c r="X101" s="256">
        <f>+W101*('Jerarq. Riesgos Plazo'!$M$65/100+1)</f>
        <v>1.0011953689982207</v>
      </c>
      <c r="Y101" s="29"/>
      <c r="Z101" s="4"/>
      <c r="AA101" s="30"/>
      <c r="AB101" s="29"/>
      <c r="AC101" s="4">
        <v>1</v>
      </c>
      <c r="AD101" s="256">
        <f>+AC101*('Jerarq. Riesgos Plazo'!$M$65/100+1)</f>
        <v>1.0011953689982207</v>
      </c>
      <c r="AE101" s="29"/>
      <c r="AF101" s="4"/>
      <c r="AG101" s="30"/>
    </row>
    <row r="102" spans="2:33" ht="18" x14ac:dyDescent="0.25">
      <c r="B102" s="110" t="s">
        <v>499</v>
      </c>
      <c r="C102" s="115" t="s">
        <v>742</v>
      </c>
      <c r="D102" s="112" t="s">
        <v>509</v>
      </c>
      <c r="E102" s="113" t="s">
        <v>453</v>
      </c>
      <c r="F102" s="113">
        <v>4</v>
      </c>
      <c r="G102" s="265">
        <v>0.5</v>
      </c>
      <c r="H102" s="114">
        <v>600000</v>
      </c>
      <c r="I102" s="129">
        <f t="shared" si="29"/>
        <v>2400000</v>
      </c>
      <c r="J102" s="343">
        <f>+K102-'Jerarq. Riesgos Plazo'!$K$77*'Aplicación proyecto JE'!K102</f>
        <v>0.45</v>
      </c>
      <c r="K102" s="4">
        <v>0.5</v>
      </c>
      <c r="L102" s="202">
        <f>+K102*('Jerarq. Riesgos Plazo'!$L$77+1)</f>
        <v>0.79153377318975526</v>
      </c>
      <c r="M102" s="64">
        <f>+N102*(-'Jerarq. Riesgos Costos'!$J$76+1)</f>
        <v>2160000</v>
      </c>
      <c r="N102" s="203">
        <f t="shared" si="31"/>
        <v>2400000</v>
      </c>
      <c r="O102" s="49">
        <f>+N102*('Jerarq. Riesgos Costos'!$K$76+1)</f>
        <v>2996977.5454048892</v>
      </c>
      <c r="P102" s="64">
        <f>+Q102-Q102*'Jerarq. Riesgos Plazo'!$Q$77</f>
        <v>0.45</v>
      </c>
      <c r="Q102" s="4">
        <f t="shared" si="24"/>
        <v>0.5</v>
      </c>
      <c r="R102" s="264">
        <f>+Q102+Q102*'Jerarq. Riesgos Plazo'!$R$77</f>
        <v>0.70179278808433576</v>
      </c>
      <c r="S102" s="38">
        <f>+T102*(-'Jerarq. Riesgos Costos'!$P$76+1)</f>
        <v>2160000</v>
      </c>
      <c r="T102" s="203">
        <f t="shared" si="30"/>
        <v>2400000</v>
      </c>
      <c r="U102" s="34">
        <f>+T102*('Jerarq. Riesgos Costos'!$Q$76+1)</f>
        <v>3035910.1816195571</v>
      </c>
      <c r="V102" s="29"/>
      <c r="W102" s="4">
        <v>0.5</v>
      </c>
      <c r="X102" s="256">
        <f>+W102*('Jerarq. Riesgos Plazo'!$M$65/100+1)</f>
        <v>0.50059768449911035</v>
      </c>
      <c r="Y102" s="29"/>
      <c r="Z102" s="4"/>
      <c r="AA102" s="30"/>
      <c r="AB102" s="29"/>
      <c r="AC102" s="4">
        <v>0.5</v>
      </c>
      <c r="AD102" s="256">
        <f>+AC102*('Jerarq. Riesgos Plazo'!$M$65/100+1)</f>
        <v>0.50059768449911035</v>
      </c>
      <c r="AE102" s="29"/>
      <c r="AF102" s="4"/>
      <c r="AG102" s="30"/>
    </row>
    <row r="103" spans="2:33" ht="18" x14ac:dyDescent="0.25">
      <c r="B103" s="110" t="s">
        <v>499</v>
      </c>
      <c r="C103" s="115" t="s">
        <v>743</v>
      </c>
      <c r="D103" s="112" t="s">
        <v>510</v>
      </c>
      <c r="E103" s="113" t="s">
        <v>472</v>
      </c>
      <c r="F103" s="113">
        <v>80</v>
      </c>
      <c r="G103" s="265">
        <v>0.6</v>
      </c>
      <c r="H103" s="114">
        <v>15000</v>
      </c>
      <c r="I103" s="129">
        <f t="shared" si="29"/>
        <v>1200000</v>
      </c>
      <c r="J103" s="343">
        <f>+K103-'Jerarq. Riesgos Plazo'!$K$77*'Aplicación proyecto JE'!K103</f>
        <v>0.54</v>
      </c>
      <c r="K103" s="4">
        <v>0.6</v>
      </c>
      <c r="L103" s="202">
        <f>+K103*('Jerarq. Riesgos Plazo'!$L$77+1)</f>
        <v>0.94984052782770623</v>
      </c>
      <c r="M103" s="64">
        <f>+N103*(-'Jerarq. Riesgos Costos'!$J$76+1)</f>
        <v>1080000</v>
      </c>
      <c r="N103" s="203">
        <f t="shared" si="31"/>
        <v>1200000</v>
      </c>
      <c r="O103" s="49">
        <f>+N103*('Jerarq. Riesgos Costos'!$K$76+1)</f>
        <v>1498488.7727024446</v>
      </c>
      <c r="P103" s="64">
        <f>+Q103-Q103*'Jerarq. Riesgos Plazo'!$Q$77</f>
        <v>0.54</v>
      </c>
      <c r="Q103" s="4">
        <f t="shared" si="24"/>
        <v>0.6</v>
      </c>
      <c r="R103" s="264">
        <f>+Q103+Q103*'Jerarq. Riesgos Plazo'!$R$77</f>
        <v>0.84215134570120287</v>
      </c>
      <c r="S103" s="38">
        <f>+T103*(-'Jerarq. Riesgos Costos'!$P$76+1)</f>
        <v>1080000</v>
      </c>
      <c r="T103" s="203">
        <f t="shared" si="30"/>
        <v>1200000</v>
      </c>
      <c r="U103" s="34">
        <f>+T103*('Jerarq. Riesgos Costos'!$Q$76+1)</f>
        <v>1517955.0908097785</v>
      </c>
      <c r="V103" s="29"/>
      <c r="W103" s="4">
        <v>0.6</v>
      </c>
      <c r="X103" s="256">
        <f>+W103*('Jerarq. Riesgos Plazo'!$M$65/100+1)</f>
        <v>0.60071722139893236</v>
      </c>
      <c r="Y103" s="29"/>
      <c r="Z103" s="4"/>
      <c r="AA103" s="30"/>
      <c r="AB103" s="29"/>
      <c r="AC103" s="4">
        <v>0.6</v>
      </c>
      <c r="AD103" s="256">
        <f>+AC103*('Jerarq. Riesgos Plazo'!$M$65/100+1)</f>
        <v>0.60071722139893236</v>
      </c>
      <c r="AE103" s="29"/>
      <c r="AF103" s="4"/>
      <c r="AG103" s="30"/>
    </row>
    <row r="104" spans="2:33" ht="18" x14ac:dyDescent="0.25">
      <c r="B104" s="110" t="s">
        <v>499</v>
      </c>
      <c r="C104" s="115" t="s">
        <v>744</v>
      </c>
      <c r="D104" s="112" t="s">
        <v>511</v>
      </c>
      <c r="E104" s="113" t="s">
        <v>472</v>
      </c>
      <c r="F104" s="113">
        <v>80</v>
      </c>
      <c r="G104" s="265">
        <v>0.6</v>
      </c>
      <c r="H104" s="114">
        <v>15000</v>
      </c>
      <c r="I104" s="129">
        <f t="shared" si="29"/>
        <v>1200000</v>
      </c>
      <c r="J104" s="343">
        <f>+K104-'Jerarq. Riesgos Plazo'!$K$77*'Aplicación proyecto JE'!K104</f>
        <v>0.54</v>
      </c>
      <c r="K104" s="4">
        <v>0.6</v>
      </c>
      <c r="L104" s="202">
        <f>+K104*('Jerarq. Riesgos Plazo'!$L$77+1)</f>
        <v>0.94984052782770623</v>
      </c>
      <c r="M104" s="64">
        <f>+N104*(-'Jerarq. Riesgos Costos'!$J$76+1)</f>
        <v>1080000</v>
      </c>
      <c r="N104" s="203">
        <f t="shared" si="31"/>
        <v>1200000</v>
      </c>
      <c r="O104" s="49">
        <f>+N104*('Jerarq. Riesgos Costos'!$K$76+1)</f>
        <v>1498488.7727024446</v>
      </c>
      <c r="P104" s="64">
        <f>+Q104-Q104*'Jerarq. Riesgos Plazo'!$Q$77</f>
        <v>0.54</v>
      </c>
      <c r="Q104" s="4">
        <f t="shared" si="24"/>
        <v>0.6</v>
      </c>
      <c r="R104" s="264">
        <f>+Q104+Q104*'Jerarq. Riesgos Plazo'!$R$77</f>
        <v>0.84215134570120287</v>
      </c>
      <c r="S104" s="38">
        <f>+T104*(-'Jerarq. Riesgos Costos'!$P$76+1)</f>
        <v>1080000</v>
      </c>
      <c r="T104" s="203">
        <f t="shared" si="30"/>
        <v>1200000</v>
      </c>
      <c r="U104" s="34">
        <f>+T104*('Jerarq. Riesgos Costos'!$Q$76+1)</f>
        <v>1517955.0908097785</v>
      </c>
      <c r="V104" s="29"/>
      <c r="W104" s="4">
        <v>0.6</v>
      </c>
      <c r="X104" s="256">
        <f>+W104*('Jerarq. Riesgos Plazo'!$M$65/100+1)</f>
        <v>0.60071722139893236</v>
      </c>
      <c r="Y104" s="29"/>
      <c r="Z104" s="4"/>
      <c r="AA104" s="30"/>
      <c r="AB104" s="29"/>
      <c r="AC104" s="4">
        <v>0.6</v>
      </c>
      <c r="AD104" s="256">
        <f>+AC104*('Jerarq. Riesgos Plazo'!$M$65/100+1)</f>
        <v>0.60071722139893236</v>
      </c>
      <c r="AE104" s="29"/>
      <c r="AF104" s="4"/>
      <c r="AG104" s="30"/>
    </row>
    <row r="105" spans="2:33" ht="18" x14ac:dyDescent="0.25">
      <c r="B105" s="110" t="s">
        <v>499</v>
      </c>
      <c r="C105" s="115" t="s">
        <v>745</v>
      </c>
      <c r="D105" s="112" t="s">
        <v>512</v>
      </c>
      <c r="E105" s="113" t="s">
        <v>472</v>
      </c>
      <c r="F105" s="113">
        <v>80</v>
      </c>
      <c r="G105" s="265">
        <v>0.2</v>
      </c>
      <c r="H105" s="114">
        <v>15000</v>
      </c>
      <c r="I105" s="129">
        <f t="shared" si="29"/>
        <v>1200000</v>
      </c>
      <c r="J105" s="343">
        <f>+K105-'Jerarq. Riesgos Plazo'!$K$77*'Aplicación proyecto JE'!K105</f>
        <v>0.18</v>
      </c>
      <c r="K105" s="4">
        <v>0.2</v>
      </c>
      <c r="L105" s="202">
        <f>+K105*('Jerarq. Riesgos Plazo'!$L$77+1)</f>
        <v>0.31661350927590215</v>
      </c>
      <c r="M105" s="64">
        <f>+N105*(-'Jerarq. Riesgos Costos'!$J$76+1)</f>
        <v>1080000</v>
      </c>
      <c r="N105" s="203">
        <f t="shared" si="31"/>
        <v>1200000</v>
      </c>
      <c r="O105" s="49">
        <f>+N105*('Jerarq. Riesgos Costos'!$K$76+1)</f>
        <v>1498488.7727024446</v>
      </c>
      <c r="P105" s="64">
        <f>+Q105-Q105*'Jerarq. Riesgos Plazo'!$Q$77</f>
        <v>0.18</v>
      </c>
      <c r="Q105" s="4">
        <f t="shared" si="24"/>
        <v>0.2</v>
      </c>
      <c r="R105" s="264">
        <f>+Q105+Q105*'Jerarq. Riesgos Plazo'!$R$77</f>
        <v>0.28071711523373433</v>
      </c>
      <c r="S105" s="38">
        <f>+T105*(-'Jerarq. Riesgos Costos'!$P$76+1)</f>
        <v>1080000</v>
      </c>
      <c r="T105" s="203">
        <f t="shared" si="30"/>
        <v>1200000</v>
      </c>
      <c r="U105" s="34">
        <f>+T105*('Jerarq. Riesgos Costos'!$Q$76+1)</f>
        <v>1517955.0908097785</v>
      </c>
      <c r="V105" s="29"/>
      <c r="W105" s="4">
        <v>0.2</v>
      </c>
      <c r="X105" s="256">
        <f>+W105*('Jerarq. Riesgos Plazo'!$M$65/100+1)</f>
        <v>0.20023907379964415</v>
      </c>
      <c r="Y105" s="29"/>
      <c r="Z105" s="4"/>
      <c r="AA105" s="30"/>
      <c r="AB105" s="29"/>
      <c r="AC105" s="4">
        <v>0.2</v>
      </c>
      <c r="AD105" s="256">
        <f>+AC105*('Jerarq. Riesgos Plazo'!$M$65/100+1)</f>
        <v>0.20023907379964415</v>
      </c>
      <c r="AE105" s="29"/>
      <c r="AF105" s="4"/>
      <c r="AG105" s="30"/>
    </row>
    <row r="106" spans="2:33" ht="18" x14ac:dyDescent="0.25">
      <c r="B106" s="110" t="s">
        <v>499</v>
      </c>
      <c r="C106" s="115" t="s">
        <v>746</v>
      </c>
      <c r="D106" s="112" t="s">
        <v>513</v>
      </c>
      <c r="E106" s="113" t="s">
        <v>472</v>
      </c>
      <c r="F106" s="113">
        <v>80</v>
      </c>
      <c r="G106" s="265">
        <v>0.1</v>
      </c>
      <c r="H106" s="114">
        <v>20000</v>
      </c>
      <c r="I106" s="129">
        <f t="shared" si="29"/>
        <v>1600000</v>
      </c>
      <c r="J106" s="343">
        <f>+K106-'Jerarq. Riesgos Plazo'!$K$77*'Aplicación proyecto JE'!K106</f>
        <v>0.09</v>
      </c>
      <c r="K106" s="4">
        <v>0.1</v>
      </c>
      <c r="L106" s="202">
        <f>+K106*('Jerarq. Riesgos Plazo'!$L$77+1)</f>
        <v>0.15830675463795107</v>
      </c>
      <c r="M106" s="64">
        <f>+N106*(-'Jerarq. Riesgos Costos'!$J$76+1)</f>
        <v>1440000</v>
      </c>
      <c r="N106" s="203">
        <f t="shared" si="31"/>
        <v>1600000</v>
      </c>
      <c r="O106" s="49">
        <f>+N106*('Jerarq. Riesgos Costos'!$K$76+1)</f>
        <v>1997985.0302699262</v>
      </c>
      <c r="P106" s="64">
        <f>+Q106-Q106*'Jerarq. Riesgos Plazo'!$Q$77</f>
        <v>0.09</v>
      </c>
      <c r="Q106" s="4">
        <f t="shared" si="24"/>
        <v>0.1</v>
      </c>
      <c r="R106" s="264">
        <f>+Q106+Q106*'Jerarq. Riesgos Plazo'!$R$77</f>
        <v>0.14035855761686716</v>
      </c>
      <c r="S106" s="38">
        <f>+T106*(-'Jerarq. Riesgos Costos'!$P$76+1)</f>
        <v>1440000</v>
      </c>
      <c r="T106" s="203">
        <f t="shared" si="30"/>
        <v>1600000</v>
      </c>
      <c r="U106" s="34">
        <f>+T106*('Jerarq. Riesgos Costos'!$Q$76+1)</f>
        <v>2023940.1210797047</v>
      </c>
      <c r="V106" s="29"/>
      <c r="W106" s="4">
        <v>0.1</v>
      </c>
      <c r="X106" s="256">
        <f>+W106*('Jerarq. Riesgos Plazo'!$M$65/100+1)</f>
        <v>0.10011953689982207</v>
      </c>
      <c r="Y106" s="29"/>
      <c r="Z106" s="4"/>
      <c r="AA106" s="30"/>
      <c r="AB106" s="29"/>
      <c r="AC106" s="4">
        <v>0.1</v>
      </c>
      <c r="AD106" s="256">
        <f>+AC106*('Jerarq. Riesgos Plazo'!$M$65/100+1)</f>
        <v>0.10011953689982207</v>
      </c>
      <c r="AE106" s="29"/>
      <c r="AF106" s="4"/>
      <c r="AG106" s="30"/>
    </row>
    <row r="107" spans="2:33" ht="18" x14ac:dyDescent="0.25">
      <c r="B107" s="110" t="s">
        <v>499</v>
      </c>
      <c r="C107" s="115" t="s">
        <v>747</v>
      </c>
      <c r="D107" s="112" t="s">
        <v>514</v>
      </c>
      <c r="E107" s="113" t="s">
        <v>453</v>
      </c>
      <c r="F107" s="113">
        <v>6</v>
      </c>
      <c r="G107" s="265">
        <v>0.3</v>
      </c>
      <c r="H107" s="114">
        <v>15000</v>
      </c>
      <c r="I107" s="129">
        <f t="shared" si="29"/>
        <v>90000</v>
      </c>
      <c r="J107" s="343">
        <f>+K107-'Jerarq. Riesgos Plazo'!$K$77*'Aplicación proyecto JE'!K107</f>
        <v>0.27</v>
      </c>
      <c r="K107" s="4">
        <v>0.3</v>
      </c>
      <c r="L107" s="202">
        <f>+K107*('Jerarq. Riesgos Plazo'!$L$77+1)</f>
        <v>0.47492026391385311</v>
      </c>
      <c r="M107" s="64">
        <f>+N107*(-'Jerarq. Riesgos Costos'!$J$76+1)</f>
        <v>81000</v>
      </c>
      <c r="N107" s="203">
        <f t="shared" si="31"/>
        <v>90000</v>
      </c>
      <c r="O107" s="49">
        <f>+N107*('Jerarq. Riesgos Costos'!$K$76+1)</f>
        <v>112386.65795268335</v>
      </c>
      <c r="P107" s="64">
        <f>+Q107-Q107*'Jerarq. Riesgos Plazo'!$Q$77</f>
        <v>0.27</v>
      </c>
      <c r="Q107" s="4">
        <f t="shared" si="24"/>
        <v>0.3</v>
      </c>
      <c r="R107" s="264">
        <f>+Q107+Q107*'Jerarq. Riesgos Plazo'!$R$77</f>
        <v>0.42107567285060143</v>
      </c>
      <c r="S107" s="38">
        <f>+T107*(-'Jerarq. Riesgos Costos'!$P$76+1)</f>
        <v>81000</v>
      </c>
      <c r="T107" s="203">
        <f t="shared" si="30"/>
        <v>90000</v>
      </c>
      <c r="U107" s="34">
        <f>+T107*('Jerarq. Riesgos Costos'!$Q$76+1)</f>
        <v>113846.63181073339</v>
      </c>
      <c r="V107" s="29"/>
      <c r="W107" s="4">
        <v>0.3</v>
      </c>
      <c r="X107" s="256">
        <f>+W107*('Jerarq. Riesgos Plazo'!$M$65/100+1)</f>
        <v>0.30035861069946618</v>
      </c>
      <c r="Y107" s="29"/>
      <c r="Z107" s="4"/>
      <c r="AA107" s="30"/>
      <c r="AB107" s="29"/>
      <c r="AC107" s="4">
        <v>0.3</v>
      </c>
      <c r="AD107" s="256">
        <f>+AC107*('Jerarq. Riesgos Plazo'!$M$65/100+1)</f>
        <v>0.30035861069946618</v>
      </c>
      <c r="AE107" s="29"/>
      <c r="AF107" s="4"/>
      <c r="AG107" s="30"/>
    </row>
    <row r="108" spans="2:33" ht="18" x14ac:dyDescent="0.25">
      <c r="B108" s="110" t="s">
        <v>499</v>
      </c>
      <c r="C108" s="115" t="s">
        <v>748</v>
      </c>
      <c r="D108" s="112" t="s">
        <v>664</v>
      </c>
      <c r="E108" s="113" t="s">
        <v>472</v>
      </c>
      <c r="F108" s="113">
        <v>17</v>
      </c>
      <c r="G108" s="265">
        <v>2</v>
      </c>
      <c r="H108" s="114">
        <v>132000</v>
      </c>
      <c r="I108" s="129">
        <f t="shared" si="29"/>
        <v>2244000</v>
      </c>
      <c r="J108" s="343">
        <f>+K108-'Jerarq. Riesgos Plazo'!$K$77*'Aplicación proyecto JE'!K108</f>
        <v>1.8</v>
      </c>
      <c r="K108" s="4">
        <v>2</v>
      </c>
      <c r="L108" s="202">
        <f>+K108*('Jerarq. Riesgos Plazo'!$L$77+1)</f>
        <v>3.1661350927590211</v>
      </c>
      <c r="M108" s="64">
        <f>+N108*(-'Jerarq. Riesgos Costos'!$J$76+1)</f>
        <v>2019600</v>
      </c>
      <c r="N108" s="203">
        <f t="shared" si="31"/>
        <v>2244000</v>
      </c>
      <c r="O108" s="49">
        <f>+N108*('Jerarq. Riesgos Costos'!$K$76+1)</f>
        <v>2802174.0049535716</v>
      </c>
      <c r="P108" s="64">
        <f>+Q108-Q108*'Jerarq. Riesgos Plazo'!$Q$77</f>
        <v>1.8</v>
      </c>
      <c r="Q108" s="4">
        <f t="shared" si="24"/>
        <v>2</v>
      </c>
      <c r="R108" s="264">
        <f>+Q108+Q108*'Jerarq. Riesgos Plazo'!$R$77</f>
        <v>2.807171152337343</v>
      </c>
      <c r="S108" s="38">
        <f>+T108*(-'Jerarq. Riesgos Costos'!$P$76+1)</f>
        <v>2019600</v>
      </c>
      <c r="T108" s="203">
        <f t="shared" si="30"/>
        <v>2244000</v>
      </c>
      <c r="U108" s="34">
        <f>+T108*('Jerarq. Riesgos Costos'!$Q$76+1)</f>
        <v>2838576.0198142859</v>
      </c>
      <c r="V108" s="29"/>
      <c r="W108" s="4">
        <v>2</v>
      </c>
      <c r="X108" s="256">
        <f>+W108*('Jerarq. Riesgos Plazo'!$M$65/100+1)</f>
        <v>2.0023907379964414</v>
      </c>
      <c r="Y108" s="29"/>
      <c r="Z108" s="4"/>
      <c r="AA108" s="30"/>
      <c r="AB108" s="29"/>
      <c r="AC108" s="4">
        <v>2</v>
      </c>
      <c r="AD108" s="256">
        <f>+AC108*('Jerarq. Riesgos Plazo'!$M$65/100+1)</f>
        <v>2.0023907379964414</v>
      </c>
      <c r="AE108" s="29"/>
      <c r="AF108" s="4"/>
      <c r="AG108" s="30"/>
    </row>
    <row r="109" spans="2:33" ht="18" x14ac:dyDescent="0.25">
      <c r="B109" s="110" t="s">
        <v>499</v>
      </c>
      <c r="C109" s="115" t="s">
        <v>749</v>
      </c>
      <c r="D109" s="112" t="s">
        <v>516</v>
      </c>
      <c r="E109" s="113" t="s">
        <v>472</v>
      </c>
      <c r="F109" s="113">
        <v>20</v>
      </c>
      <c r="G109" s="265">
        <v>1</v>
      </c>
      <c r="H109" s="114">
        <v>67500</v>
      </c>
      <c r="I109" s="129">
        <f t="shared" si="29"/>
        <v>1350000</v>
      </c>
      <c r="J109" s="343">
        <f>+K109-'Jerarq. Riesgos Plazo'!$K$77*'Aplicación proyecto JE'!K109</f>
        <v>0.9</v>
      </c>
      <c r="K109" s="4">
        <v>1</v>
      </c>
      <c r="L109" s="202">
        <f>+K109*('Jerarq. Riesgos Plazo'!$L$77+1)</f>
        <v>1.5830675463795105</v>
      </c>
      <c r="M109" s="64">
        <f>+N109*(-'Jerarq. Riesgos Costos'!$J$76+1)</f>
        <v>1215000</v>
      </c>
      <c r="N109" s="203">
        <f t="shared" si="31"/>
        <v>1350000</v>
      </c>
      <c r="O109" s="49">
        <f>+N109*('Jerarq. Riesgos Costos'!$K$76+1)</f>
        <v>1685799.8692902501</v>
      </c>
      <c r="P109" s="64">
        <f>+Q109-Q109*'Jerarq. Riesgos Plazo'!$Q$77</f>
        <v>0.9</v>
      </c>
      <c r="Q109" s="4">
        <f t="shared" si="24"/>
        <v>1</v>
      </c>
      <c r="R109" s="264">
        <f>+Q109+Q109*'Jerarq. Riesgos Plazo'!$R$77</f>
        <v>1.4035855761686715</v>
      </c>
      <c r="S109" s="38">
        <f>+T109*(-'Jerarq. Riesgos Costos'!$P$76+1)</f>
        <v>1215000</v>
      </c>
      <c r="T109" s="203">
        <f t="shared" si="30"/>
        <v>1350000</v>
      </c>
      <c r="U109" s="34">
        <f>+T109*('Jerarq. Riesgos Costos'!$Q$76+1)</f>
        <v>1707699.4771610009</v>
      </c>
      <c r="V109" s="29"/>
      <c r="W109" s="4">
        <v>1</v>
      </c>
      <c r="X109" s="256">
        <f>+W109*('Jerarq. Riesgos Plazo'!$M$65/100+1)</f>
        <v>1.0011953689982207</v>
      </c>
      <c r="Y109" s="29"/>
      <c r="Z109" s="4"/>
      <c r="AA109" s="30"/>
      <c r="AB109" s="29"/>
      <c r="AC109" s="4">
        <v>1</v>
      </c>
      <c r="AD109" s="256">
        <f>+AC109*('Jerarq. Riesgos Plazo'!$M$65/100+1)</f>
        <v>1.0011953689982207</v>
      </c>
      <c r="AE109" s="29"/>
      <c r="AF109" s="4"/>
      <c r="AG109" s="30"/>
    </row>
    <row r="110" spans="2:33" ht="18" x14ac:dyDescent="0.25">
      <c r="B110" s="251" t="s">
        <v>657</v>
      </c>
      <c r="C110" s="251" t="s">
        <v>464</v>
      </c>
      <c r="D110" s="252" t="s">
        <v>517</v>
      </c>
      <c r="E110" s="253"/>
      <c r="F110" s="254"/>
      <c r="G110" s="261">
        <f>+SUM(G111:G144)</f>
        <v>18.200000000000006</v>
      </c>
      <c r="H110" s="255"/>
      <c r="I110" s="256">
        <f t="shared" ref="I110:O110" si="32">+SUM(I111:I146)</f>
        <v>97219050</v>
      </c>
      <c r="J110" s="261">
        <f t="shared" si="32"/>
        <v>18.270000000000003</v>
      </c>
      <c r="K110" s="261">
        <f t="shared" si="32"/>
        <v>20.300000000000008</v>
      </c>
      <c r="L110" s="256">
        <f t="shared" si="32"/>
        <v>32.136271191504072</v>
      </c>
      <c r="M110" s="260">
        <f t="shared" si="32"/>
        <v>87497145</v>
      </c>
      <c r="N110" s="261">
        <f t="shared" si="32"/>
        <v>97219050</v>
      </c>
      <c r="O110" s="262">
        <f t="shared" si="32"/>
        <v>121401379.09816468</v>
      </c>
      <c r="P110" s="260">
        <f t="shared" ref="P110:U110" si="33">+SUM(P111:P146)</f>
        <v>18.270000000000003</v>
      </c>
      <c r="Q110" s="261">
        <f t="shared" si="33"/>
        <v>20.300000000000008</v>
      </c>
      <c r="R110" s="262">
        <f t="shared" si="33"/>
        <v>28.492787196224032</v>
      </c>
      <c r="S110" s="368">
        <f t="shared" si="33"/>
        <v>87497145</v>
      </c>
      <c r="T110" s="261">
        <f t="shared" si="33"/>
        <v>97219050</v>
      </c>
      <c r="U110" s="262">
        <f t="shared" si="33"/>
        <v>122978459.89265865</v>
      </c>
      <c r="V110" s="260">
        <v>17</v>
      </c>
      <c r="W110" s="261">
        <f>+SUM(W111:W144)</f>
        <v>18.200000000000006</v>
      </c>
      <c r="X110" s="256">
        <f>+W110*('Jerarq. Riesgos Plazo'!$M$65/100+1)</f>
        <v>18.221755715767625</v>
      </c>
      <c r="Y110" s="260"/>
      <c r="Z110" s="261"/>
      <c r="AA110" s="262"/>
      <c r="AB110" s="260">
        <v>17</v>
      </c>
      <c r="AC110" s="261">
        <f>+SUM(AC111:AC144)</f>
        <v>18.200000000000006</v>
      </c>
      <c r="AD110" s="256">
        <f>+AC110*('Jerarq. Riesgos Plazo'!$M$65/100+1)</f>
        <v>18.221755715767625</v>
      </c>
      <c r="AE110" s="260"/>
      <c r="AF110" s="261"/>
      <c r="AG110" s="262"/>
    </row>
    <row r="111" spans="2:33" ht="18" x14ac:dyDescent="0.25">
      <c r="B111" s="110" t="s">
        <v>518</v>
      </c>
      <c r="C111" s="115" t="s">
        <v>750</v>
      </c>
      <c r="D111" s="112" t="s">
        <v>519</v>
      </c>
      <c r="E111" s="113" t="s">
        <v>453</v>
      </c>
      <c r="F111" s="113">
        <v>3</v>
      </c>
      <c r="G111" s="265">
        <v>0.3</v>
      </c>
      <c r="H111" s="114">
        <v>1600000</v>
      </c>
      <c r="I111" s="129">
        <f t="shared" ref="I111:I148" si="34">+F111*H111</f>
        <v>4800000</v>
      </c>
      <c r="J111" s="343">
        <f>+K111-'Jerarq. Riesgos Plazo'!$K$77*'Aplicación proyecto JE'!K111</f>
        <v>0.27</v>
      </c>
      <c r="K111" s="4">
        <v>0.3</v>
      </c>
      <c r="L111" s="202">
        <f>+K111*('Jerarq. Riesgos Plazo'!$L$77+1)</f>
        <v>0.47492026391385311</v>
      </c>
      <c r="M111" s="64">
        <f>+N111*(-'Jerarq. Riesgos Costos'!$J$76+1)</f>
        <v>4320000</v>
      </c>
      <c r="N111" s="203">
        <f t="shared" ref="N111:N146" si="35">+I111</f>
        <v>4800000</v>
      </c>
      <c r="O111" s="49">
        <f>+N111*('Jerarq. Riesgos Costos'!$K$76+1)</f>
        <v>5993955.0908097783</v>
      </c>
      <c r="P111" s="64">
        <f>+Q111-Q111*'Jerarq. Riesgos Plazo'!$Q$77</f>
        <v>0.27</v>
      </c>
      <c r="Q111" s="4">
        <f t="shared" si="24"/>
        <v>0.3</v>
      </c>
      <c r="R111" s="264">
        <f>+Q111+Q111*'Jerarq. Riesgos Plazo'!$R$77</f>
        <v>0.42107567285060143</v>
      </c>
      <c r="S111" s="38">
        <f>+T111*(-'Jerarq. Riesgos Costos'!$P$76+1)</f>
        <v>4320000</v>
      </c>
      <c r="T111" s="203">
        <f t="shared" si="30"/>
        <v>4800000</v>
      </c>
      <c r="U111" s="34">
        <f>+T111*('Jerarq. Riesgos Costos'!$Q$76+1)</f>
        <v>6071820.3632391142</v>
      </c>
      <c r="V111" s="29"/>
      <c r="W111" s="4">
        <v>0.3</v>
      </c>
      <c r="X111" s="256">
        <f>+W111*('Jerarq. Riesgos Plazo'!$M$65/100+1)</f>
        <v>0.30035861069946618</v>
      </c>
      <c r="Y111" s="29"/>
      <c r="Z111" s="4"/>
      <c r="AA111" s="30"/>
      <c r="AB111" s="29"/>
      <c r="AC111" s="4">
        <v>0.3</v>
      </c>
      <c r="AD111" s="256">
        <f>+AC111*('Jerarq. Riesgos Plazo'!$M$65/100+1)</f>
        <v>0.30035861069946618</v>
      </c>
      <c r="AE111" s="29"/>
      <c r="AF111" s="4"/>
      <c r="AG111" s="30"/>
    </row>
    <row r="112" spans="2:33" ht="18" x14ac:dyDescent="0.25">
      <c r="B112" s="110" t="s">
        <v>518</v>
      </c>
      <c r="C112" s="115" t="s">
        <v>751</v>
      </c>
      <c r="D112" s="112" t="s">
        <v>520</v>
      </c>
      <c r="E112" s="113" t="s">
        <v>453</v>
      </c>
      <c r="F112" s="113">
        <v>3</v>
      </c>
      <c r="G112" s="265">
        <v>0.4</v>
      </c>
      <c r="H112" s="114">
        <v>2500000</v>
      </c>
      <c r="I112" s="129">
        <f t="shared" si="34"/>
        <v>7500000</v>
      </c>
      <c r="J112" s="343">
        <f>+K112-'Jerarq. Riesgos Plazo'!$K$77*'Aplicación proyecto JE'!K112</f>
        <v>0.36</v>
      </c>
      <c r="K112" s="4">
        <v>0.4</v>
      </c>
      <c r="L112" s="202">
        <f>+K112*('Jerarq. Riesgos Plazo'!$L$77+1)</f>
        <v>0.6332270185518043</v>
      </c>
      <c r="M112" s="64">
        <f>+N112*(-'Jerarq. Riesgos Costos'!$J$76+1)</f>
        <v>6750000</v>
      </c>
      <c r="N112" s="203">
        <f t="shared" si="35"/>
        <v>7500000</v>
      </c>
      <c r="O112" s="49">
        <f>+N112*('Jerarq. Riesgos Costos'!$K$76+1)</f>
        <v>9365554.8293902799</v>
      </c>
      <c r="P112" s="64">
        <f>+Q112-Q112*'Jerarq. Riesgos Plazo'!$Q$77</f>
        <v>0.36</v>
      </c>
      <c r="Q112" s="4">
        <f t="shared" si="24"/>
        <v>0.4</v>
      </c>
      <c r="R112" s="264">
        <f>+Q112+Q112*'Jerarq. Riesgos Plazo'!$R$77</f>
        <v>0.56143423046746865</v>
      </c>
      <c r="S112" s="38">
        <f>+T112*(-'Jerarq. Riesgos Costos'!$P$76+1)</f>
        <v>6750000</v>
      </c>
      <c r="T112" s="203">
        <f t="shared" si="30"/>
        <v>7500000</v>
      </c>
      <c r="U112" s="34">
        <f>+T112*('Jerarq. Riesgos Costos'!$Q$76+1)</f>
        <v>9487219.3175611161</v>
      </c>
      <c r="V112" s="29"/>
      <c r="W112" s="4">
        <v>0.4</v>
      </c>
      <c r="X112" s="256">
        <f>+W112*('Jerarq. Riesgos Plazo'!$M$65/100+1)</f>
        <v>0.40047814759928829</v>
      </c>
      <c r="Y112" s="29"/>
      <c r="Z112" s="4"/>
      <c r="AA112" s="30"/>
      <c r="AB112" s="29"/>
      <c r="AC112" s="4">
        <v>0.4</v>
      </c>
      <c r="AD112" s="256">
        <f>+AC112*('Jerarq. Riesgos Plazo'!$M$65/100+1)</f>
        <v>0.40047814759928829</v>
      </c>
      <c r="AE112" s="29"/>
      <c r="AF112" s="4"/>
      <c r="AG112" s="30"/>
    </row>
    <row r="113" spans="2:33" ht="18" x14ac:dyDescent="0.25">
      <c r="B113" s="110" t="s">
        <v>518</v>
      </c>
      <c r="C113" s="115" t="s">
        <v>752</v>
      </c>
      <c r="D113" s="112" t="s">
        <v>521</v>
      </c>
      <c r="E113" s="113" t="s">
        <v>453</v>
      </c>
      <c r="F113" s="113">
        <v>2</v>
      </c>
      <c r="G113" s="265">
        <v>0.2</v>
      </c>
      <c r="H113" s="114">
        <v>1500000</v>
      </c>
      <c r="I113" s="129">
        <f t="shared" si="34"/>
        <v>3000000</v>
      </c>
      <c r="J113" s="343">
        <f>+K113-'Jerarq. Riesgos Plazo'!$K$77*'Aplicación proyecto JE'!K113</f>
        <v>0.18</v>
      </c>
      <c r="K113" s="4">
        <v>0.2</v>
      </c>
      <c r="L113" s="202">
        <f>+K113*('Jerarq. Riesgos Plazo'!$L$77+1)</f>
        <v>0.31661350927590215</v>
      </c>
      <c r="M113" s="64">
        <f>+N113*(-'Jerarq. Riesgos Costos'!$J$76+1)</f>
        <v>2700000</v>
      </c>
      <c r="N113" s="203">
        <f t="shared" si="35"/>
        <v>3000000</v>
      </c>
      <c r="O113" s="49">
        <f>+N113*('Jerarq. Riesgos Costos'!$K$76+1)</f>
        <v>3746221.9317561118</v>
      </c>
      <c r="P113" s="64">
        <f>+Q113-Q113*'Jerarq. Riesgos Plazo'!$Q$77</f>
        <v>0.18</v>
      </c>
      <c r="Q113" s="4">
        <f t="shared" si="24"/>
        <v>0.2</v>
      </c>
      <c r="R113" s="264">
        <f>+Q113+Q113*'Jerarq. Riesgos Plazo'!$R$77</f>
        <v>0.28071711523373433</v>
      </c>
      <c r="S113" s="38">
        <f>+T113*(-'Jerarq. Riesgos Costos'!$P$76+1)</f>
        <v>2700000</v>
      </c>
      <c r="T113" s="203">
        <f t="shared" si="30"/>
        <v>3000000</v>
      </c>
      <c r="U113" s="34">
        <f>+T113*('Jerarq. Riesgos Costos'!$Q$76+1)</f>
        <v>3794887.7270244467</v>
      </c>
      <c r="V113" s="29"/>
      <c r="W113" s="4">
        <v>0.2</v>
      </c>
      <c r="X113" s="256">
        <f>+W113*('Jerarq. Riesgos Plazo'!$M$65/100+1)</f>
        <v>0.20023907379964415</v>
      </c>
      <c r="Y113" s="29"/>
      <c r="Z113" s="4"/>
      <c r="AA113" s="30"/>
      <c r="AB113" s="29"/>
      <c r="AC113" s="4">
        <v>0.2</v>
      </c>
      <c r="AD113" s="256">
        <f>+AC113*('Jerarq. Riesgos Plazo'!$M$65/100+1)</f>
        <v>0.20023907379964415</v>
      </c>
      <c r="AE113" s="29"/>
      <c r="AF113" s="4"/>
      <c r="AG113" s="30"/>
    </row>
    <row r="114" spans="2:33" ht="18" x14ac:dyDescent="0.25">
      <c r="B114" s="110" t="s">
        <v>518</v>
      </c>
      <c r="C114" s="115" t="s">
        <v>753</v>
      </c>
      <c r="D114" s="112" t="s">
        <v>522</v>
      </c>
      <c r="E114" s="113" t="s">
        <v>453</v>
      </c>
      <c r="F114" s="113">
        <v>1</v>
      </c>
      <c r="G114" s="265">
        <v>0.2</v>
      </c>
      <c r="H114" s="114">
        <v>7000000</v>
      </c>
      <c r="I114" s="129">
        <f t="shared" si="34"/>
        <v>7000000</v>
      </c>
      <c r="J114" s="343">
        <f>+K114-'Jerarq. Riesgos Plazo'!$K$77*'Aplicación proyecto JE'!K114</f>
        <v>0.18</v>
      </c>
      <c r="K114" s="4">
        <v>0.2</v>
      </c>
      <c r="L114" s="202">
        <f>+K114*('Jerarq. Riesgos Plazo'!$L$77+1)</f>
        <v>0.31661350927590215</v>
      </c>
      <c r="M114" s="64">
        <f>+N114*(-'Jerarq. Riesgos Costos'!$J$76+1)</f>
        <v>6300000</v>
      </c>
      <c r="N114" s="203">
        <f t="shared" si="35"/>
        <v>7000000</v>
      </c>
      <c r="O114" s="49">
        <f>+N114*('Jerarq. Riesgos Costos'!$K$76+1)</f>
        <v>8741184.5074309278</v>
      </c>
      <c r="P114" s="64">
        <f>+Q114-Q114*'Jerarq. Riesgos Plazo'!$Q$77</f>
        <v>0.18</v>
      </c>
      <c r="Q114" s="4">
        <f t="shared" si="24"/>
        <v>0.2</v>
      </c>
      <c r="R114" s="264">
        <f>+Q114+Q114*'Jerarq. Riesgos Plazo'!$R$77</f>
        <v>0.28071711523373433</v>
      </c>
      <c r="S114" s="38">
        <f>+T114*(-'Jerarq. Riesgos Costos'!$P$76+1)</f>
        <v>6300000</v>
      </c>
      <c r="T114" s="203">
        <f t="shared" si="30"/>
        <v>7000000</v>
      </c>
      <c r="U114" s="34">
        <f>+T114*('Jerarq. Riesgos Costos'!$Q$76+1)</f>
        <v>8854738.0297237094</v>
      </c>
      <c r="V114" s="29"/>
      <c r="W114" s="4">
        <v>0.2</v>
      </c>
      <c r="X114" s="256">
        <f>+W114*('Jerarq. Riesgos Plazo'!$M$65/100+1)</f>
        <v>0.20023907379964415</v>
      </c>
      <c r="Y114" s="29"/>
      <c r="Z114" s="4"/>
      <c r="AA114" s="30"/>
      <c r="AB114" s="29"/>
      <c r="AC114" s="4">
        <v>0.2</v>
      </c>
      <c r="AD114" s="256">
        <f>+AC114*('Jerarq. Riesgos Plazo'!$M$65/100+1)</f>
        <v>0.20023907379964415</v>
      </c>
      <c r="AE114" s="29"/>
      <c r="AF114" s="4"/>
      <c r="AG114" s="30"/>
    </row>
    <row r="115" spans="2:33" ht="18" x14ac:dyDescent="0.25">
      <c r="B115" s="110" t="s">
        <v>518</v>
      </c>
      <c r="C115" s="115" t="s">
        <v>754</v>
      </c>
      <c r="D115" s="112" t="s">
        <v>523</v>
      </c>
      <c r="E115" s="113" t="s">
        <v>453</v>
      </c>
      <c r="F115" s="113">
        <v>2</v>
      </c>
      <c r="G115" s="265">
        <v>0.3</v>
      </c>
      <c r="H115" s="114">
        <v>1800000</v>
      </c>
      <c r="I115" s="129">
        <f t="shared" si="34"/>
        <v>3600000</v>
      </c>
      <c r="J115" s="343">
        <f>+K115-'Jerarq. Riesgos Plazo'!$K$77*'Aplicación proyecto JE'!K115</f>
        <v>0.27</v>
      </c>
      <c r="K115" s="4">
        <v>0.3</v>
      </c>
      <c r="L115" s="202">
        <f>+K115*('Jerarq. Riesgos Plazo'!$L$77+1)</f>
        <v>0.47492026391385311</v>
      </c>
      <c r="M115" s="64">
        <f>+N115*(-'Jerarq. Riesgos Costos'!$J$76+1)</f>
        <v>3240000</v>
      </c>
      <c r="N115" s="203">
        <f t="shared" si="35"/>
        <v>3600000</v>
      </c>
      <c r="O115" s="49">
        <f>+N115*('Jerarq. Riesgos Costos'!$K$76+1)</f>
        <v>4495466.318107334</v>
      </c>
      <c r="P115" s="64">
        <f>+Q115-Q115*'Jerarq. Riesgos Plazo'!$Q$77</f>
        <v>0.27</v>
      </c>
      <c r="Q115" s="4">
        <f t="shared" si="24"/>
        <v>0.3</v>
      </c>
      <c r="R115" s="264">
        <f>+Q115+Q115*'Jerarq. Riesgos Plazo'!$R$77</f>
        <v>0.42107567285060143</v>
      </c>
      <c r="S115" s="38">
        <f>+T115*(-'Jerarq. Riesgos Costos'!$P$76+1)</f>
        <v>3240000</v>
      </c>
      <c r="T115" s="203">
        <f t="shared" si="30"/>
        <v>3600000</v>
      </c>
      <c r="U115" s="34">
        <f>+T115*('Jerarq. Riesgos Costos'!$Q$76+1)</f>
        <v>4553865.2724293359</v>
      </c>
      <c r="V115" s="29"/>
      <c r="W115" s="4">
        <v>0.3</v>
      </c>
      <c r="X115" s="256">
        <f>+W115*('Jerarq. Riesgos Plazo'!$M$65/100+1)</f>
        <v>0.30035861069946618</v>
      </c>
      <c r="Y115" s="29"/>
      <c r="Z115" s="4"/>
      <c r="AA115" s="30"/>
      <c r="AB115" s="29"/>
      <c r="AC115" s="4">
        <v>0.3</v>
      </c>
      <c r="AD115" s="256">
        <f>+AC115*('Jerarq. Riesgos Plazo'!$M$65/100+1)</f>
        <v>0.30035861069946618</v>
      </c>
      <c r="AE115" s="29"/>
      <c r="AF115" s="4"/>
      <c r="AG115" s="30"/>
    </row>
    <row r="116" spans="2:33" ht="18" x14ac:dyDescent="0.25">
      <c r="B116" s="110" t="s">
        <v>518</v>
      </c>
      <c r="C116" s="115" t="s">
        <v>755</v>
      </c>
      <c r="D116" s="112" t="s">
        <v>524</v>
      </c>
      <c r="E116" s="113" t="s">
        <v>453</v>
      </c>
      <c r="F116" s="113">
        <v>2</v>
      </c>
      <c r="G116" s="265">
        <v>0.3</v>
      </c>
      <c r="H116" s="114">
        <v>250000</v>
      </c>
      <c r="I116" s="129">
        <f t="shared" si="34"/>
        <v>500000</v>
      </c>
      <c r="J116" s="343">
        <f>+K116-'Jerarq. Riesgos Plazo'!$K$77*'Aplicación proyecto JE'!K116</f>
        <v>0.27</v>
      </c>
      <c r="K116" s="4">
        <v>0.3</v>
      </c>
      <c r="L116" s="202">
        <f>+K116*('Jerarq. Riesgos Plazo'!$L$77+1)</f>
        <v>0.47492026391385311</v>
      </c>
      <c r="M116" s="64">
        <f>+N116*(-'Jerarq. Riesgos Costos'!$J$76+1)</f>
        <v>450000</v>
      </c>
      <c r="N116" s="203">
        <f t="shared" si="35"/>
        <v>500000</v>
      </c>
      <c r="O116" s="49">
        <f>+N116*('Jerarq. Riesgos Costos'!$K$76+1)</f>
        <v>624370.32195935189</v>
      </c>
      <c r="P116" s="64">
        <f>+Q116-Q116*'Jerarq. Riesgos Plazo'!$Q$77</f>
        <v>0.27</v>
      </c>
      <c r="Q116" s="4">
        <f t="shared" si="24"/>
        <v>0.3</v>
      </c>
      <c r="R116" s="264">
        <f>+Q116+Q116*'Jerarq. Riesgos Plazo'!$R$77</f>
        <v>0.42107567285060143</v>
      </c>
      <c r="S116" s="38">
        <f>+T116*(-'Jerarq. Riesgos Costos'!$P$76+1)</f>
        <v>450000</v>
      </c>
      <c r="T116" s="203">
        <f t="shared" si="30"/>
        <v>500000</v>
      </c>
      <c r="U116" s="34">
        <f>+T116*('Jerarq. Riesgos Costos'!$Q$76+1)</f>
        <v>632481.28783740778</v>
      </c>
      <c r="V116" s="29"/>
      <c r="W116" s="4">
        <v>0.3</v>
      </c>
      <c r="X116" s="256">
        <f>+W116*('Jerarq. Riesgos Plazo'!$M$65/100+1)</f>
        <v>0.30035861069946618</v>
      </c>
      <c r="Y116" s="29"/>
      <c r="Z116" s="4"/>
      <c r="AA116" s="30"/>
      <c r="AB116" s="29"/>
      <c r="AC116" s="4">
        <v>0.3</v>
      </c>
      <c r="AD116" s="256">
        <f>+AC116*('Jerarq. Riesgos Plazo'!$M$65/100+1)</f>
        <v>0.30035861069946618</v>
      </c>
      <c r="AE116" s="29"/>
      <c r="AF116" s="4"/>
      <c r="AG116" s="30"/>
    </row>
    <row r="117" spans="2:33" ht="18" x14ac:dyDescent="0.25">
      <c r="B117" s="110" t="s">
        <v>518</v>
      </c>
      <c r="C117" s="115" t="s">
        <v>756</v>
      </c>
      <c r="D117" s="112" t="s">
        <v>525</v>
      </c>
      <c r="E117" s="113" t="s">
        <v>453</v>
      </c>
      <c r="F117" s="113">
        <v>2</v>
      </c>
      <c r="G117" s="265">
        <v>0.5</v>
      </c>
      <c r="H117" s="114">
        <v>275000</v>
      </c>
      <c r="I117" s="129">
        <f t="shared" si="34"/>
        <v>550000</v>
      </c>
      <c r="J117" s="343">
        <f>+K117-'Jerarq. Riesgos Plazo'!$K$77*'Aplicación proyecto JE'!K117</f>
        <v>0.45</v>
      </c>
      <c r="K117" s="4">
        <v>0.5</v>
      </c>
      <c r="L117" s="202">
        <f>+K117*('Jerarq. Riesgos Plazo'!$L$77+1)</f>
        <v>0.79153377318975526</v>
      </c>
      <c r="M117" s="64">
        <f>+N117*(-'Jerarq. Riesgos Costos'!$J$76+1)</f>
        <v>495000</v>
      </c>
      <c r="N117" s="203">
        <f t="shared" si="35"/>
        <v>550000</v>
      </c>
      <c r="O117" s="49">
        <f>+N117*('Jerarq. Riesgos Costos'!$K$76+1)</f>
        <v>686807.35415528715</v>
      </c>
      <c r="P117" s="64">
        <f>+Q117-Q117*'Jerarq. Riesgos Plazo'!$Q$77</f>
        <v>0.45</v>
      </c>
      <c r="Q117" s="4">
        <f t="shared" si="24"/>
        <v>0.5</v>
      </c>
      <c r="R117" s="264">
        <f>+Q117+Q117*'Jerarq. Riesgos Plazo'!$R$77</f>
        <v>0.70179278808433576</v>
      </c>
      <c r="S117" s="38">
        <f>+T117*(-'Jerarq. Riesgos Costos'!$P$76+1)</f>
        <v>495000</v>
      </c>
      <c r="T117" s="203">
        <f t="shared" si="30"/>
        <v>550000</v>
      </c>
      <c r="U117" s="34">
        <f>+T117*('Jerarq. Riesgos Costos'!$Q$76+1)</f>
        <v>695729.41662114859</v>
      </c>
      <c r="V117" s="29"/>
      <c r="W117" s="4">
        <v>0.5</v>
      </c>
      <c r="X117" s="256">
        <f>+W117*('Jerarq. Riesgos Plazo'!$M$65/100+1)</f>
        <v>0.50059768449911035</v>
      </c>
      <c r="Y117" s="29"/>
      <c r="Z117" s="4"/>
      <c r="AA117" s="30"/>
      <c r="AB117" s="29"/>
      <c r="AC117" s="4">
        <v>0.5</v>
      </c>
      <c r="AD117" s="256">
        <f>+AC117*('Jerarq. Riesgos Plazo'!$M$65/100+1)</f>
        <v>0.50059768449911035</v>
      </c>
      <c r="AE117" s="29"/>
      <c r="AF117" s="4"/>
      <c r="AG117" s="30"/>
    </row>
    <row r="118" spans="2:33" ht="18" x14ac:dyDescent="0.25">
      <c r="B118" s="110" t="s">
        <v>518</v>
      </c>
      <c r="C118" s="115" t="s">
        <v>757</v>
      </c>
      <c r="D118" s="112" t="s">
        <v>526</v>
      </c>
      <c r="E118" s="113" t="s">
        <v>453</v>
      </c>
      <c r="F118" s="113">
        <v>1</v>
      </c>
      <c r="G118" s="265">
        <v>0.2</v>
      </c>
      <c r="H118" s="114">
        <v>210000</v>
      </c>
      <c r="I118" s="129">
        <f t="shared" si="34"/>
        <v>210000</v>
      </c>
      <c r="J118" s="343">
        <f>+K118-'Jerarq. Riesgos Plazo'!$K$77*'Aplicación proyecto JE'!K118</f>
        <v>0.18</v>
      </c>
      <c r="K118" s="4">
        <v>0.2</v>
      </c>
      <c r="L118" s="202">
        <f>+K118*('Jerarq. Riesgos Plazo'!$L$77+1)</f>
        <v>0.31661350927590215</v>
      </c>
      <c r="M118" s="64">
        <f>+N118*(-'Jerarq. Riesgos Costos'!$J$76+1)</f>
        <v>189000</v>
      </c>
      <c r="N118" s="203">
        <f t="shared" si="35"/>
        <v>210000</v>
      </c>
      <c r="O118" s="49">
        <f>+N118*('Jerarq. Riesgos Costos'!$K$76+1)</f>
        <v>262235.53522292781</v>
      </c>
      <c r="P118" s="64">
        <f>+Q118-Q118*'Jerarq. Riesgos Plazo'!$Q$77</f>
        <v>0.18</v>
      </c>
      <c r="Q118" s="4">
        <f t="shared" si="24"/>
        <v>0.2</v>
      </c>
      <c r="R118" s="264">
        <f>+Q118+Q118*'Jerarq. Riesgos Plazo'!$R$77</f>
        <v>0.28071711523373433</v>
      </c>
      <c r="S118" s="38">
        <f>+T118*(-'Jerarq. Riesgos Costos'!$P$76+1)</f>
        <v>189000</v>
      </c>
      <c r="T118" s="203">
        <f t="shared" si="30"/>
        <v>210000</v>
      </c>
      <c r="U118" s="34">
        <f>+T118*('Jerarq. Riesgos Costos'!$Q$76+1)</f>
        <v>265642.14089171129</v>
      </c>
      <c r="V118" s="29"/>
      <c r="W118" s="4">
        <v>0.2</v>
      </c>
      <c r="X118" s="256">
        <f>+W118*('Jerarq. Riesgos Plazo'!$M$65/100+1)</f>
        <v>0.20023907379964415</v>
      </c>
      <c r="Y118" s="29"/>
      <c r="Z118" s="4"/>
      <c r="AA118" s="30"/>
      <c r="AB118" s="29"/>
      <c r="AC118" s="4">
        <v>0.2</v>
      </c>
      <c r="AD118" s="256">
        <f>+AC118*('Jerarq. Riesgos Plazo'!$M$65/100+1)</f>
        <v>0.20023907379964415</v>
      </c>
      <c r="AE118" s="29"/>
      <c r="AF118" s="4"/>
      <c r="AG118" s="30"/>
    </row>
    <row r="119" spans="2:33" ht="18" x14ac:dyDescent="0.25">
      <c r="B119" s="110" t="s">
        <v>518</v>
      </c>
      <c r="C119" s="115" t="s">
        <v>758</v>
      </c>
      <c r="D119" s="112" t="s">
        <v>527</v>
      </c>
      <c r="E119" s="113" t="s">
        <v>453</v>
      </c>
      <c r="F119" s="113">
        <v>1</v>
      </c>
      <c r="G119" s="265">
        <v>0.3</v>
      </c>
      <c r="H119" s="114">
        <v>250000</v>
      </c>
      <c r="I119" s="129">
        <f t="shared" si="34"/>
        <v>250000</v>
      </c>
      <c r="J119" s="343">
        <f>+K119-'Jerarq. Riesgos Plazo'!$K$77*'Aplicación proyecto JE'!K119</f>
        <v>0.27</v>
      </c>
      <c r="K119" s="4">
        <v>0.3</v>
      </c>
      <c r="L119" s="202">
        <f>+K119*('Jerarq. Riesgos Plazo'!$L$77+1)</f>
        <v>0.47492026391385311</v>
      </c>
      <c r="M119" s="64">
        <f>+N119*(-'Jerarq. Riesgos Costos'!$J$76+1)</f>
        <v>225000</v>
      </c>
      <c r="N119" s="203">
        <f t="shared" si="35"/>
        <v>250000</v>
      </c>
      <c r="O119" s="49">
        <f>+N119*('Jerarq. Riesgos Costos'!$K$76+1)</f>
        <v>312185.16097967594</v>
      </c>
      <c r="P119" s="64">
        <f>+Q119-Q119*'Jerarq. Riesgos Plazo'!$Q$77</f>
        <v>0.27</v>
      </c>
      <c r="Q119" s="4">
        <f t="shared" si="24"/>
        <v>0.3</v>
      </c>
      <c r="R119" s="264">
        <f>+Q119+Q119*'Jerarq. Riesgos Plazo'!$R$77</f>
        <v>0.42107567285060143</v>
      </c>
      <c r="S119" s="38">
        <f>+T119*(-'Jerarq. Riesgos Costos'!$P$76+1)</f>
        <v>225000</v>
      </c>
      <c r="T119" s="203">
        <f t="shared" si="30"/>
        <v>250000</v>
      </c>
      <c r="U119" s="34">
        <f>+T119*('Jerarq. Riesgos Costos'!$Q$76+1)</f>
        <v>316240.64391870389</v>
      </c>
      <c r="V119" s="29"/>
      <c r="W119" s="4">
        <v>0.3</v>
      </c>
      <c r="X119" s="256">
        <f>+W119*('Jerarq. Riesgos Plazo'!$M$65/100+1)</f>
        <v>0.30035861069946618</v>
      </c>
      <c r="Y119" s="29"/>
      <c r="Z119" s="4"/>
      <c r="AA119" s="30"/>
      <c r="AB119" s="29"/>
      <c r="AC119" s="4">
        <v>0.3</v>
      </c>
      <c r="AD119" s="256">
        <f>+AC119*('Jerarq. Riesgos Plazo'!$M$65/100+1)</f>
        <v>0.30035861069946618</v>
      </c>
      <c r="AE119" s="29"/>
      <c r="AF119" s="4"/>
      <c r="AG119" s="30"/>
    </row>
    <row r="120" spans="2:33" ht="18" x14ac:dyDescent="0.25">
      <c r="B120" s="110" t="s">
        <v>518</v>
      </c>
      <c r="C120" s="115" t="s">
        <v>759</v>
      </c>
      <c r="D120" s="112" t="s">
        <v>528</v>
      </c>
      <c r="E120" s="113" t="s">
        <v>472</v>
      </c>
      <c r="F120" s="113">
        <v>276</v>
      </c>
      <c r="G120" s="265">
        <v>1.5</v>
      </c>
      <c r="H120" s="114">
        <v>20000</v>
      </c>
      <c r="I120" s="129">
        <f t="shared" si="34"/>
        <v>5520000</v>
      </c>
      <c r="J120" s="343">
        <f>+K120-'Jerarq. Riesgos Plazo'!$K$77*'Aplicación proyecto JE'!K120</f>
        <v>1.35</v>
      </c>
      <c r="K120" s="4">
        <v>1.5</v>
      </c>
      <c r="L120" s="202">
        <f>+K120*('Jerarq. Riesgos Plazo'!$L$77+1)</f>
        <v>2.3746013195692659</v>
      </c>
      <c r="M120" s="64">
        <f>+N120*(-'Jerarq. Riesgos Costos'!$J$76+1)</f>
        <v>4968000</v>
      </c>
      <c r="N120" s="203">
        <f t="shared" si="35"/>
        <v>5520000</v>
      </c>
      <c r="O120" s="49">
        <f>+N120*('Jerarq. Riesgos Costos'!$K$76+1)</f>
        <v>6893048.3544312455</v>
      </c>
      <c r="P120" s="64">
        <f>+Q120-Q120*'Jerarq. Riesgos Plazo'!$Q$77</f>
        <v>1.35</v>
      </c>
      <c r="Q120" s="4">
        <f t="shared" si="24"/>
        <v>1.5</v>
      </c>
      <c r="R120" s="264">
        <f>+Q120+Q120*'Jerarq. Riesgos Plazo'!$R$77</f>
        <v>2.1053783642530073</v>
      </c>
      <c r="S120" s="38">
        <f>+T120*(-'Jerarq. Riesgos Costos'!$P$76+1)</f>
        <v>4968000</v>
      </c>
      <c r="T120" s="203">
        <f t="shared" si="30"/>
        <v>5520000</v>
      </c>
      <c r="U120" s="34">
        <f>+T120*('Jerarq. Riesgos Costos'!$Q$76+1)</f>
        <v>6982593.4177249819</v>
      </c>
      <c r="V120" s="29"/>
      <c r="W120" s="4">
        <v>1.5</v>
      </c>
      <c r="X120" s="256">
        <f>+W120*('Jerarq. Riesgos Plazo'!$M$65/100+1)</f>
        <v>1.5017930534973312</v>
      </c>
      <c r="Y120" s="29"/>
      <c r="Z120" s="4"/>
      <c r="AA120" s="30"/>
      <c r="AB120" s="29"/>
      <c r="AC120" s="4">
        <v>1.5</v>
      </c>
      <c r="AD120" s="256">
        <f>+AC120*('Jerarq. Riesgos Plazo'!$M$65/100+1)</f>
        <v>1.5017930534973312</v>
      </c>
      <c r="AE120" s="29"/>
      <c r="AF120" s="4"/>
      <c r="AG120" s="30"/>
    </row>
    <row r="121" spans="2:33" ht="18" x14ac:dyDescent="0.25">
      <c r="B121" s="110" t="s">
        <v>518</v>
      </c>
      <c r="C121" s="115" t="s">
        <v>760</v>
      </c>
      <c r="D121" s="112" t="s">
        <v>529</v>
      </c>
      <c r="E121" s="113" t="s">
        <v>472</v>
      </c>
      <c r="F121" s="113">
        <v>25</v>
      </c>
      <c r="G121" s="265">
        <v>0.3</v>
      </c>
      <c r="H121" s="114">
        <v>30000</v>
      </c>
      <c r="I121" s="129">
        <f t="shared" si="34"/>
        <v>750000</v>
      </c>
      <c r="J121" s="343">
        <f>+K121-'Jerarq. Riesgos Plazo'!$K$77*'Aplicación proyecto JE'!K121</f>
        <v>0.27</v>
      </c>
      <c r="K121" s="4">
        <v>0.3</v>
      </c>
      <c r="L121" s="202">
        <f>+K121*('Jerarq. Riesgos Plazo'!$L$77+1)</f>
        <v>0.47492026391385311</v>
      </c>
      <c r="M121" s="64">
        <f>+N121*(-'Jerarq. Riesgos Costos'!$J$76+1)</f>
        <v>675000</v>
      </c>
      <c r="N121" s="203">
        <f t="shared" si="35"/>
        <v>750000</v>
      </c>
      <c r="O121" s="49">
        <f>+N121*('Jerarq. Riesgos Costos'!$K$76+1)</f>
        <v>936555.48293902795</v>
      </c>
      <c r="P121" s="64">
        <f>+Q121-Q121*'Jerarq. Riesgos Plazo'!$Q$77</f>
        <v>0.27</v>
      </c>
      <c r="Q121" s="4">
        <f t="shared" si="24"/>
        <v>0.3</v>
      </c>
      <c r="R121" s="264">
        <f>+Q121+Q121*'Jerarq. Riesgos Plazo'!$R$77</f>
        <v>0.42107567285060143</v>
      </c>
      <c r="S121" s="38">
        <f>+T121*(-'Jerarq. Riesgos Costos'!$P$76+1)</f>
        <v>675000</v>
      </c>
      <c r="T121" s="203">
        <f t="shared" si="30"/>
        <v>750000</v>
      </c>
      <c r="U121" s="34">
        <f>+T121*('Jerarq. Riesgos Costos'!$Q$76+1)</f>
        <v>948721.93175611168</v>
      </c>
      <c r="V121" s="29"/>
      <c r="W121" s="4">
        <v>0.3</v>
      </c>
      <c r="X121" s="256">
        <f>+W121*('Jerarq. Riesgos Plazo'!$M$65/100+1)</f>
        <v>0.30035861069946618</v>
      </c>
      <c r="Y121" s="29"/>
      <c r="Z121" s="4"/>
      <c r="AA121" s="30"/>
      <c r="AB121" s="29"/>
      <c r="AC121" s="4">
        <v>0.3</v>
      </c>
      <c r="AD121" s="256">
        <f>+AC121*('Jerarq. Riesgos Plazo'!$M$65/100+1)</f>
        <v>0.30035861069946618</v>
      </c>
      <c r="AE121" s="29"/>
      <c r="AF121" s="4"/>
      <c r="AG121" s="30"/>
    </row>
    <row r="122" spans="2:33" ht="18" x14ac:dyDescent="0.25">
      <c r="B122" s="110" t="s">
        <v>518</v>
      </c>
      <c r="C122" s="115" t="s">
        <v>761</v>
      </c>
      <c r="D122" s="112" t="s">
        <v>530</v>
      </c>
      <c r="E122" s="113" t="s">
        <v>472</v>
      </c>
      <c r="F122" s="113">
        <v>111</v>
      </c>
      <c r="G122" s="265">
        <v>1</v>
      </c>
      <c r="H122" s="114">
        <v>25000</v>
      </c>
      <c r="I122" s="129">
        <f t="shared" si="34"/>
        <v>2775000</v>
      </c>
      <c r="J122" s="343">
        <f>+K122-'Jerarq. Riesgos Plazo'!$K$77*'Aplicación proyecto JE'!K122</f>
        <v>0.9</v>
      </c>
      <c r="K122" s="4">
        <v>1</v>
      </c>
      <c r="L122" s="202">
        <f>+K122*('Jerarq. Riesgos Plazo'!$L$77+1)</f>
        <v>1.5830675463795105</v>
      </c>
      <c r="M122" s="64">
        <f>+N122*(-'Jerarq. Riesgos Costos'!$J$76+1)</f>
        <v>2497500</v>
      </c>
      <c r="N122" s="203">
        <f t="shared" si="35"/>
        <v>2775000</v>
      </c>
      <c r="O122" s="49">
        <f>+N122*('Jerarq. Riesgos Costos'!$K$76+1)</f>
        <v>3465255.2868744032</v>
      </c>
      <c r="P122" s="64">
        <f>+Q122-Q122*'Jerarq. Riesgos Plazo'!$Q$77</f>
        <v>0.9</v>
      </c>
      <c r="Q122" s="4">
        <f t="shared" si="24"/>
        <v>1</v>
      </c>
      <c r="R122" s="264">
        <f>+Q122+Q122*'Jerarq. Riesgos Plazo'!$R$77</f>
        <v>1.4035855761686715</v>
      </c>
      <c r="S122" s="38">
        <f>+T122*(-'Jerarq. Riesgos Costos'!$P$76+1)</f>
        <v>2497500</v>
      </c>
      <c r="T122" s="203">
        <f t="shared" si="30"/>
        <v>2775000</v>
      </c>
      <c r="U122" s="34">
        <f>+T122*('Jerarq. Riesgos Costos'!$Q$76+1)</f>
        <v>3510271.147497613</v>
      </c>
      <c r="V122" s="29"/>
      <c r="W122" s="4">
        <v>1</v>
      </c>
      <c r="X122" s="256">
        <f>+W122*('Jerarq. Riesgos Plazo'!$M$65/100+1)</f>
        <v>1.0011953689982207</v>
      </c>
      <c r="Y122" s="29"/>
      <c r="Z122" s="4"/>
      <c r="AA122" s="30"/>
      <c r="AB122" s="29"/>
      <c r="AC122" s="4">
        <v>1</v>
      </c>
      <c r="AD122" s="256">
        <f>+AC122*('Jerarq. Riesgos Plazo'!$M$65/100+1)</f>
        <v>1.0011953689982207</v>
      </c>
      <c r="AE122" s="29"/>
      <c r="AF122" s="4"/>
      <c r="AG122" s="30"/>
    </row>
    <row r="123" spans="2:33" ht="18" x14ac:dyDescent="0.25">
      <c r="B123" s="110" t="s">
        <v>518</v>
      </c>
      <c r="C123" s="115" t="s">
        <v>762</v>
      </c>
      <c r="D123" s="112" t="s">
        <v>531</v>
      </c>
      <c r="E123" s="113" t="s">
        <v>472</v>
      </c>
      <c r="F123" s="113">
        <v>5</v>
      </c>
      <c r="G123" s="265">
        <v>0.2</v>
      </c>
      <c r="H123" s="114">
        <v>35000</v>
      </c>
      <c r="I123" s="129">
        <f t="shared" si="34"/>
        <v>175000</v>
      </c>
      <c r="J123" s="343">
        <f>+K123-'Jerarq. Riesgos Plazo'!$K$77*'Aplicación proyecto JE'!K123</f>
        <v>0.18</v>
      </c>
      <c r="K123" s="4">
        <v>0.2</v>
      </c>
      <c r="L123" s="202">
        <f>+K123*('Jerarq. Riesgos Plazo'!$L$77+1)</f>
        <v>0.31661350927590215</v>
      </c>
      <c r="M123" s="64">
        <f>+N123*(-'Jerarq. Riesgos Costos'!$J$76+1)</f>
        <v>157500</v>
      </c>
      <c r="N123" s="203">
        <f t="shared" si="35"/>
        <v>175000</v>
      </c>
      <c r="O123" s="49">
        <f>+N123*('Jerarq. Riesgos Costos'!$K$76+1)</f>
        <v>218529.61268577317</v>
      </c>
      <c r="P123" s="64">
        <f>+Q123-Q123*'Jerarq. Riesgos Plazo'!$Q$77</f>
        <v>0.18</v>
      </c>
      <c r="Q123" s="4">
        <f t="shared" si="24"/>
        <v>0.2</v>
      </c>
      <c r="R123" s="264">
        <f>+Q123+Q123*'Jerarq. Riesgos Plazo'!$R$77</f>
        <v>0.28071711523373433</v>
      </c>
      <c r="S123" s="38">
        <f>+T123*(-'Jerarq. Riesgos Costos'!$P$76+1)</f>
        <v>157500</v>
      </c>
      <c r="T123" s="203">
        <f t="shared" si="30"/>
        <v>175000</v>
      </c>
      <c r="U123" s="34">
        <f>+T123*('Jerarq. Riesgos Costos'!$Q$76+1)</f>
        <v>221368.45074309272</v>
      </c>
      <c r="V123" s="29"/>
      <c r="W123" s="4">
        <v>0.2</v>
      </c>
      <c r="X123" s="256">
        <f>+W123*('Jerarq. Riesgos Plazo'!$M$65/100+1)</f>
        <v>0.20023907379964415</v>
      </c>
      <c r="Y123" s="29"/>
      <c r="Z123" s="4"/>
      <c r="AA123" s="30"/>
      <c r="AB123" s="29"/>
      <c r="AC123" s="4">
        <v>0.2</v>
      </c>
      <c r="AD123" s="256">
        <f>+AC123*('Jerarq. Riesgos Plazo'!$M$65/100+1)</f>
        <v>0.20023907379964415</v>
      </c>
      <c r="AE123" s="29"/>
      <c r="AF123" s="4"/>
      <c r="AG123" s="30"/>
    </row>
    <row r="124" spans="2:33" ht="18" x14ac:dyDescent="0.25">
      <c r="B124" s="110" t="s">
        <v>518</v>
      </c>
      <c r="C124" s="115" t="s">
        <v>763</v>
      </c>
      <c r="D124" s="112" t="s">
        <v>532</v>
      </c>
      <c r="E124" s="113" t="s">
        <v>472</v>
      </c>
      <c r="F124" s="113">
        <v>150</v>
      </c>
      <c r="G124" s="265">
        <v>1.4</v>
      </c>
      <c r="H124" s="114">
        <v>13067</v>
      </c>
      <c r="I124" s="129">
        <f t="shared" si="34"/>
        <v>1960050</v>
      </c>
      <c r="J124" s="343">
        <f>+K124-'Jerarq. Riesgos Plazo'!$K$77*'Aplicación proyecto JE'!K124</f>
        <v>1.26</v>
      </c>
      <c r="K124" s="4">
        <v>1.4</v>
      </c>
      <c r="L124" s="202">
        <f>+K124*('Jerarq. Riesgos Plazo'!$L$77+1)</f>
        <v>2.2162945649313146</v>
      </c>
      <c r="M124" s="64">
        <f>+N124*(-'Jerarq. Riesgos Costos'!$J$76+1)</f>
        <v>1764045</v>
      </c>
      <c r="N124" s="203">
        <f t="shared" si="35"/>
        <v>1960050</v>
      </c>
      <c r="O124" s="49">
        <f>+N124*('Jerarq. Riesgos Costos'!$K$76+1)</f>
        <v>2447594.0991128557</v>
      </c>
      <c r="P124" s="64">
        <f>+Q124-Q124*'Jerarq. Riesgos Plazo'!$Q$77</f>
        <v>1.26</v>
      </c>
      <c r="Q124" s="4">
        <f t="shared" si="24"/>
        <v>1.4</v>
      </c>
      <c r="R124" s="264">
        <f>+Q124+Q124*'Jerarq. Riesgos Plazo'!$R$77</f>
        <v>1.96501980663614</v>
      </c>
      <c r="S124" s="38">
        <f>+T124*(-'Jerarq. Riesgos Costos'!$P$76+1)</f>
        <v>1764045</v>
      </c>
      <c r="T124" s="203">
        <f t="shared" si="30"/>
        <v>1960050</v>
      </c>
      <c r="U124" s="34">
        <f>+T124*('Jerarq. Riesgos Costos'!$Q$76+1)</f>
        <v>2479389.896451422</v>
      </c>
      <c r="V124" s="29"/>
      <c r="W124" s="4">
        <v>1.4</v>
      </c>
      <c r="X124" s="256">
        <f>+W124*('Jerarq. Riesgos Plazo'!$M$65/100+1)</f>
        <v>1.4016735165975089</v>
      </c>
      <c r="Y124" s="29"/>
      <c r="Z124" s="4"/>
      <c r="AA124" s="30"/>
      <c r="AB124" s="29"/>
      <c r="AC124" s="4">
        <v>1.4</v>
      </c>
      <c r="AD124" s="256">
        <f>+AC124*('Jerarq. Riesgos Plazo'!$M$65/100+1)</f>
        <v>1.4016735165975089</v>
      </c>
      <c r="AE124" s="29"/>
      <c r="AF124" s="4"/>
      <c r="AG124" s="30"/>
    </row>
    <row r="125" spans="2:33" ht="18" x14ac:dyDescent="0.25">
      <c r="B125" s="110" t="s">
        <v>518</v>
      </c>
      <c r="C125" s="115" t="s">
        <v>764</v>
      </c>
      <c r="D125" s="112" t="s">
        <v>665</v>
      </c>
      <c r="E125" s="113" t="s">
        <v>472</v>
      </c>
      <c r="F125" s="113">
        <v>50</v>
      </c>
      <c r="G125" s="265">
        <v>0.3</v>
      </c>
      <c r="H125" s="114">
        <v>12000</v>
      </c>
      <c r="I125" s="129">
        <f t="shared" si="34"/>
        <v>600000</v>
      </c>
      <c r="J125" s="343">
        <f>+K125-'Jerarq. Riesgos Plazo'!$K$77*'Aplicación proyecto JE'!K125</f>
        <v>0.27</v>
      </c>
      <c r="K125" s="4">
        <v>0.3</v>
      </c>
      <c r="L125" s="202">
        <f>+K125*('Jerarq. Riesgos Plazo'!$L$77+1)</f>
        <v>0.47492026391385311</v>
      </c>
      <c r="M125" s="64">
        <f>+N125*(-'Jerarq. Riesgos Costos'!$J$76+1)</f>
        <v>540000</v>
      </c>
      <c r="N125" s="203">
        <f t="shared" si="35"/>
        <v>600000</v>
      </c>
      <c r="O125" s="49">
        <f>+N125*('Jerarq. Riesgos Costos'!$K$76+1)</f>
        <v>749244.38635122229</v>
      </c>
      <c r="P125" s="64">
        <f>+Q125-Q125*'Jerarq. Riesgos Plazo'!$Q$77</f>
        <v>0.27</v>
      </c>
      <c r="Q125" s="4">
        <f t="shared" si="24"/>
        <v>0.3</v>
      </c>
      <c r="R125" s="264">
        <f>+Q125+Q125*'Jerarq. Riesgos Plazo'!$R$77</f>
        <v>0.42107567285060143</v>
      </c>
      <c r="S125" s="38">
        <f>+T125*(-'Jerarq. Riesgos Costos'!$P$76+1)</f>
        <v>540000</v>
      </c>
      <c r="T125" s="203">
        <f t="shared" si="30"/>
        <v>600000</v>
      </c>
      <c r="U125" s="34">
        <f>+T125*('Jerarq. Riesgos Costos'!$Q$76+1)</f>
        <v>758977.54540488927</v>
      </c>
      <c r="V125" s="29"/>
      <c r="W125" s="4">
        <v>0.3</v>
      </c>
      <c r="X125" s="256">
        <f>+W125*('Jerarq. Riesgos Plazo'!$M$65/100+1)</f>
        <v>0.30035861069946618</v>
      </c>
      <c r="Y125" s="29"/>
      <c r="Z125" s="4"/>
      <c r="AA125" s="30"/>
      <c r="AB125" s="29"/>
      <c r="AC125" s="4">
        <v>0.3</v>
      </c>
      <c r="AD125" s="256">
        <f>+AC125*('Jerarq. Riesgos Plazo'!$M$65/100+1)</f>
        <v>0.30035861069946618</v>
      </c>
      <c r="AE125" s="29"/>
      <c r="AF125" s="4"/>
      <c r="AG125" s="30"/>
    </row>
    <row r="126" spans="2:33" ht="18" x14ac:dyDescent="0.25">
      <c r="B126" s="110" t="s">
        <v>518</v>
      </c>
      <c r="C126" s="115" t="s">
        <v>765</v>
      </c>
      <c r="D126" s="112" t="s">
        <v>533</v>
      </c>
      <c r="E126" s="113" t="s">
        <v>472</v>
      </c>
      <c r="F126" s="113">
        <v>410</v>
      </c>
      <c r="G126" s="265">
        <v>1.5</v>
      </c>
      <c r="H126" s="114">
        <v>16000</v>
      </c>
      <c r="I126" s="129">
        <f t="shared" si="34"/>
        <v>6560000</v>
      </c>
      <c r="J126" s="343">
        <f>+K126-'Jerarq. Riesgos Plazo'!$K$77*'Aplicación proyecto JE'!K126</f>
        <v>1.35</v>
      </c>
      <c r="K126" s="4">
        <v>1.5</v>
      </c>
      <c r="L126" s="202">
        <f>+K126*('Jerarq. Riesgos Plazo'!$L$77+1)</f>
        <v>2.3746013195692659</v>
      </c>
      <c r="M126" s="64">
        <f>+N126*(-'Jerarq. Riesgos Costos'!$J$76+1)</f>
        <v>5904000</v>
      </c>
      <c r="N126" s="203">
        <f t="shared" si="35"/>
        <v>6560000</v>
      </c>
      <c r="O126" s="49">
        <f>+N126*('Jerarq. Riesgos Costos'!$K$76+1)</f>
        <v>8191738.6241066977</v>
      </c>
      <c r="P126" s="64">
        <f>+Q126-Q126*'Jerarq. Riesgos Plazo'!$Q$77</f>
        <v>1.35</v>
      </c>
      <c r="Q126" s="4">
        <f t="shared" si="24"/>
        <v>1.5</v>
      </c>
      <c r="R126" s="264">
        <f>+Q126+Q126*'Jerarq. Riesgos Plazo'!$R$77</f>
        <v>2.1053783642530073</v>
      </c>
      <c r="S126" s="38">
        <f>+T126*(-'Jerarq. Riesgos Costos'!$P$76+1)</f>
        <v>5904000</v>
      </c>
      <c r="T126" s="203">
        <f t="shared" si="30"/>
        <v>6560000</v>
      </c>
      <c r="U126" s="34">
        <f>+T126*('Jerarq. Riesgos Costos'!$Q$76+1)</f>
        <v>8298154.49642679</v>
      </c>
      <c r="V126" s="29"/>
      <c r="W126" s="4">
        <v>1.5</v>
      </c>
      <c r="X126" s="256">
        <f>+W126*('Jerarq. Riesgos Plazo'!$M$65/100+1)</f>
        <v>1.5017930534973312</v>
      </c>
      <c r="Y126" s="29"/>
      <c r="Z126" s="4"/>
      <c r="AA126" s="30"/>
      <c r="AB126" s="29"/>
      <c r="AC126" s="4">
        <v>1.5</v>
      </c>
      <c r="AD126" s="256">
        <f>+AC126*('Jerarq. Riesgos Plazo'!$M$65/100+1)</f>
        <v>1.5017930534973312</v>
      </c>
      <c r="AE126" s="29"/>
      <c r="AF126" s="4"/>
      <c r="AG126" s="30"/>
    </row>
    <row r="127" spans="2:33" ht="18" x14ac:dyDescent="0.25">
      <c r="B127" s="110" t="s">
        <v>518</v>
      </c>
      <c r="C127" s="115" t="s">
        <v>766</v>
      </c>
      <c r="D127" s="112" t="s">
        <v>534</v>
      </c>
      <c r="E127" s="113" t="s">
        <v>472</v>
      </c>
      <c r="F127" s="113">
        <v>320</v>
      </c>
      <c r="G127" s="265">
        <v>0.9</v>
      </c>
      <c r="H127" s="114">
        <v>25000</v>
      </c>
      <c r="I127" s="129">
        <f t="shared" si="34"/>
        <v>8000000</v>
      </c>
      <c r="J127" s="343">
        <f>+K127-'Jerarq. Riesgos Plazo'!$K$77*'Aplicación proyecto JE'!K127</f>
        <v>0.81</v>
      </c>
      <c r="K127" s="4">
        <v>0.9</v>
      </c>
      <c r="L127" s="202">
        <f>+K127*('Jerarq. Riesgos Plazo'!$L$77+1)</f>
        <v>1.4247607917415595</v>
      </c>
      <c r="M127" s="64">
        <f>+N127*(-'Jerarq. Riesgos Costos'!$J$76+1)</f>
        <v>7200000</v>
      </c>
      <c r="N127" s="203">
        <f t="shared" si="35"/>
        <v>8000000</v>
      </c>
      <c r="O127" s="49">
        <f>+N127*('Jerarq. Riesgos Costos'!$K$76+1)</f>
        <v>9989925.1513496302</v>
      </c>
      <c r="P127" s="64">
        <f>+Q127-Q127*'Jerarq. Riesgos Plazo'!$Q$77</f>
        <v>0.81</v>
      </c>
      <c r="Q127" s="4">
        <f t="shared" si="24"/>
        <v>0.9</v>
      </c>
      <c r="R127" s="264">
        <f>+Q127+Q127*'Jerarq. Riesgos Plazo'!$R$77</f>
        <v>1.2632270185518042</v>
      </c>
      <c r="S127" s="38">
        <f>+T127*(-'Jerarq. Riesgos Costos'!$P$76+1)</f>
        <v>7200000</v>
      </c>
      <c r="T127" s="203">
        <f t="shared" si="30"/>
        <v>8000000</v>
      </c>
      <c r="U127" s="34">
        <f>+T127*('Jerarq. Riesgos Costos'!$Q$76+1)</f>
        <v>10119700.605398525</v>
      </c>
      <c r="V127" s="29"/>
      <c r="W127" s="4">
        <v>0.9</v>
      </c>
      <c r="X127" s="256">
        <f>+W127*('Jerarq. Riesgos Plazo'!$M$65/100+1)</f>
        <v>0.9010758320983987</v>
      </c>
      <c r="Y127" s="29"/>
      <c r="Z127" s="4"/>
      <c r="AA127" s="30"/>
      <c r="AB127" s="29"/>
      <c r="AC127" s="4">
        <v>0.9</v>
      </c>
      <c r="AD127" s="256">
        <f>+AC127*('Jerarq. Riesgos Plazo'!$M$65/100+1)</f>
        <v>0.9010758320983987</v>
      </c>
      <c r="AE127" s="29"/>
      <c r="AF127" s="4"/>
      <c r="AG127" s="30"/>
    </row>
    <row r="128" spans="2:33" ht="18" x14ac:dyDescent="0.25">
      <c r="B128" s="110" t="s">
        <v>518</v>
      </c>
      <c r="C128" s="115" t="s">
        <v>767</v>
      </c>
      <c r="D128" s="112" t="s">
        <v>535</v>
      </c>
      <c r="E128" s="113" t="s">
        <v>472</v>
      </c>
      <c r="F128" s="113">
        <v>440</v>
      </c>
      <c r="G128" s="265">
        <v>1</v>
      </c>
      <c r="H128" s="114">
        <v>25000</v>
      </c>
      <c r="I128" s="129">
        <f t="shared" si="34"/>
        <v>11000000</v>
      </c>
      <c r="J128" s="343">
        <f>+K128-'Jerarq. Riesgos Plazo'!$K$77*'Aplicación proyecto JE'!K128</f>
        <v>0.9</v>
      </c>
      <c r="K128" s="4">
        <v>1</v>
      </c>
      <c r="L128" s="202">
        <f>+K128*('Jerarq. Riesgos Plazo'!$L$77+1)</f>
        <v>1.5830675463795105</v>
      </c>
      <c r="M128" s="64">
        <f>+N128*(-'Jerarq. Riesgos Costos'!$J$76+1)</f>
        <v>9900000</v>
      </c>
      <c r="N128" s="203">
        <f t="shared" si="35"/>
        <v>11000000</v>
      </c>
      <c r="O128" s="49">
        <f>+N128*('Jerarq. Riesgos Costos'!$K$76+1)</f>
        <v>13736147.083105743</v>
      </c>
      <c r="P128" s="64">
        <f>+Q128-Q128*'Jerarq. Riesgos Plazo'!$Q$77</f>
        <v>0.9</v>
      </c>
      <c r="Q128" s="4">
        <f t="shared" si="24"/>
        <v>1</v>
      </c>
      <c r="R128" s="264">
        <f>+Q128+Q128*'Jerarq. Riesgos Plazo'!$R$77</f>
        <v>1.4035855761686715</v>
      </c>
      <c r="S128" s="38">
        <f>+T128*(-'Jerarq. Riesgos Costos'!$P$76+1)</f>
        <v>9900000</v>
      </c>
      <c r="T128" s="203">
        <f t="shared" si="30"/>
        <v>11000000</v>
      </c>
      <c r="U128" s="34">
        <f>+T128*('Jerarq. Riesgos Costos'!$Q$76+1)</f>
        <v>13914588.33242297</v>
      </c>
      <c r="V128" s="29"/>
      <c r="W128" s="4">
        <v>1</v>
      </c>
      <c r="X128" s="256">
        <f>+W128*('Jerarq. Riesgos Plazo'!$M$65/100+1)</f>
        <v>1.0011953689982207</v>
      </c>
      <c r="Y128" s="29"/>
      <c r="Z128" s="4"/>
      <c r="AA128" s="30"/>
      <c r="AB128" s="29"/>
      <c r="AC128" s="4">
        <v>1</v>
      </c>
      <c r="AD128" s="256">
        <f>+AC128*('Jerarq. Riesgos Plazo'!$M$65/100+1)</f>
        <v>1.0011953689982207</v>
      </c>
      <c r="AE128" s="29"/>
      <c r="AF128" s="4"/>
      <c r="AG128" s="30"/>
    </row>
    <row r="129" spans="2:33" ht="18" x14ac:dyDescent="0.25">
      <c r="B129" s="110" t="s">
        <v>518</v>
      </c>
      <c r="C129" s="115" t="s">
        <v>768</v>
      </c>
      <c r="D129" s="112" t="s">
        <v>536</v>
      </c>
      <c r="E129" s="113" t="s">
        <v>472</v>
      </c>
      <c r="F129" s="113">
        <v>710</v>
      </c>
      <c r="G129" s="265">
        <v>1</v>
      </c>
      <c r="H129" s="114">
        <v>16000</v>
      </c>
      <c r="I129" s="129">
        <f t="shared" si="34"/>
        <v>11360000</v>
      </c>
      <c r="J129" s="343">
        <f>+K129-'Jerarq. Riesgos Plazo'!$K$77*'Aplicación proyecto JE'!K129</f>
        <v>0.9</v>
      </c>
      <c r="K129" s="4">
        <v>1</v>
      </c>
      <c r="L129" s="202">
        <f>+K129*('Jerarq. Riesgos Plazo'!$L$77+1)</f>
        <v>1.5830675463795105</v>
      </c>
      <c r="M129" s="64">
        <f>+N129*(-'Jerarq. Riesgos Costos'!$J$76+1)</f>
        <v>10224000</v>
      </c>
      <c r="N129" s="203">
        <f t="shared" si="35"/>
        <v>11360000</v>
      </c>
      <c r="O129" s="49">
        <f>+N129*('Jerarq. Riesgos Costos'!$K$76+1)</f>
        <v>14185693.714916475</v>
      </c>
      <c r="P129" s="64">
        <f>+Q129-Q129*'Jerarq. Riesgos Plazo'!$Q$77</f>
        <v>0.9</v>
      </c>
      <c r="Q129" s="4">
        <f t="shared" si="24"/>
        <v>1</v>
      </c>
      <c r="R129" s="264">
        <f>+Q129+Q129*'Jerarq. Riesgos Plazo'!$R$77</f>
        <v>1.4035855761686715</v>
      </c>
      <c r="S129" s="38">
        <f>+T129*(-'Jerarq. Riesgos Costos'!$P$76+1)</f>
        <v>10224000</v>
      </c>
      <c r="T129" s="203">
        <f t="shared" si="30"/>
        <v>11360000</v>
      </c>
      <c r="U129" s="34">
        <f>+T129*('Jerarq. Riesgos Costos'!$Q$76+1)</f>
        <v>14369974.859665904</v>
      </c>
      <c r="V129" s="29"/>
      <c r="W129" s="4">
        <v>1</v>
      </c>
      <c r="X129" s="256">
        <f>+W129*('Jerarq. Riesgos Plazo'!$M$65/100+1)</f>
        <v>1.0011953689982207</v>
      </c>
      <c r="Y129" s="29"/>
      <c r="Z129" s="4"/>
      <c r="AA129" s="30"/>
      <c r="AB129" s="29"/>
      <c r="AC129" s="4">
        <v>1</v>
      </c>
      <c r="AD129" s="256">
        <f>+AC129*('Jerarq. Riesgos Plazo'!$M$65/100+1)</f>
        <v>1.0011953689982207</v>
      </c>
      <c r="AE129" s="29"/>
      <c r="AF129" s="4"/>
      <c r="AG129" s="30"/>
    </row>
    <row r="130" spans="2:33" ht="18" x14ac:dyDescent="0.25">
      <c r="B130" s="110" t="s">
        <v>518</v>
      </c>
      <c r="C130" s="115" t="s">
        <v>769</v>
      </c>
      <c r="D130" s="112" t="s">
        <v>537</v>
      </c>
      <c r="E130" s="113" t="s">
        <v>472</v>
      </c>
      <c r="F130" s="113">
        <v>460</v>
      </c>
      <c r="G130" s="265">
        <v>0.9</v>
      </c>
      <c r="H130" s="114">
        <v>12000</v>
      </c>
      <c r="I130" s="129">
        <f t="shared" si="34"/>
        <v>5520000</v>
      </c>
      <c r="J130" s="343">
        <f>+K130-'Jerarq. Riesgos Plazo'!$K$77*'Aplicación proyecto JE'!K130</f>
        <v>0.81</v>
      </c>
      <c r="K130" s="4">
        <v>0.9</v>
      </c>
      <c r="L130" s="202">
        <f>+K130*('Jerarq. Riesgos Plazo'!$L$77+1)</f>
        <v>1.4247607917415595</v>
      </c>
      <c r="M130" s="64">
        <f>+N130*(-'Jerarq. Riesgos Costos'!$J$76+1)</f>
        <v>4968000</v>
      </c>
      <c r="N130" s="203">
        <f t="shared" si="35"/>
        <v>5520000</v>
      </c>
      <c r="O130" s="49">
        <f>+N130*('Jerarq. Riesgos Costos'!$K$76+1)</f>
        <v>6893048.3544312455</v>
      </c>
      <c r="P130" s="64">
        <f>+Q130-Q130*'Jerarq. Riesgos Plazo'!$Q$77</f>
        <v>0.81</v>
      </c>
      <c r="Q130" s="4">
        <f t="shared" si="24"/>
        <v>0.9</v>
      </c>
      <c r="R130" s="264">
        <f>+Q130+Q130*'Jerarq. Riesgos Plazo'!$R$77</f>
        <v>1.2632270185518042</v>
      </c>
      <c r="S130" s="38">
        <f>+T130*(-'Jerarq. Riesgos Costos'!$P$76+1)</f>
        <v>4968000</v>
      </c>
      <c r="T130" s="203">
        <f t="shared" si="30"/>
        <v>5520000</v>
      </c>
      <c r="U130" s="34">
        <f>+T130*('Jerarq. Riesgos Costos'!$Q$76+1)</f>
        <v>6982593.4177249819</v>
      </c>
      <c r="V130" s="29"/>
      <c r="W130" s="4">
        <v>0.9</v>
      </c>
      <c r="X130" s="256">
        <f>+W130*('Jerarq. Riesgos Plazo'!$M$65/100+1)</f>
        <v>0.9010758320983987</v>
      </c>
      <c r="Y130" s="29"/>
      <c r="Z130" s="4"/>
      <c r="AA130" s="30"/>
      <c r="AB130" s="29"/>
      <c r="AC130" s="4">
        <v>0.9</v>
      </c>
      <c r="AD130" s="256">
        <f>+AC130*('Jerarq. Riesgos Plazo'!$M$65/100+1)</f>
        <v>0.9010758320983987</v>
      </c>
      <c r="AE130" s="29"/>
      <c r="AF130" s="4"/>
      <c r="AG130" s="30"/>
    </row>
    <row r="131" spans="2:33" ht="18" x14ac:dyDescent="0.25">
      <c r="B131" s="110" t="s">
        <v>518</v>
      </c>
      <c r="C131" s="115" t="s">
        <v>770</v>
      </c>
      <c r="D131" s="112" t="s">
        <v>538</v>
      </c>
      <c r="E131" s="113" t="s">
        <v>472</v>
      </c>
      <c r="F131" s="113">
        <v>30</v>
      </c>
      <c r="G131" s="265">
        <v>0.2</v>
      </c>
      <c r="H131" s="114">
        <v>16000</v>
      </c>
      <c r="I131" s="129">
        <f t="shared" si="34"/>
        <v>480000</v>
      </c>
      <c r="J131" s="343">
        <f>+K131-'Jerarq. Riesgos Plazo'!$K$77*'Aplicación proyecto JE'!K131</f>
        <v>0.18</v>
      </c>
      <c r="K131" s="4">
        <v>0.2</v>
      </c>
      <c r="L131" s="202">
        <f>+K131*('Jerarq. Riesgos Plazo'!$L$77+1)</f>
        <v>0.31661350927590215</v>
      </c>
      <c r="M131" s="64">
        <f>+N131*(-'Jerarq. Riesgos Costos'!$J$76+1)</f>
        <v>432000</v>
      </c>
      <c r="N131" s="203">
        <f t="shared" si="35"/>
        <v>480000</v>
      </c>
      <c r="O131" s="49">
        <f>+N131*('Jerarq. Riesgos Costos'!$K$76+1)</f>
        <v>599395.50908097788</v>
      </c>
      <c r="P131" s="64">
        <f>+Q131-Q131*'Jerarq. Riesgos Plazo'!$Q$77</f>
        <v>0.18</v>
      </c>
      <c r="Q131" s="4">
        <f t="shared" si="24"/>
        <v>0.2</v>
      </c>
      <c r="R131" s="264">
        <f>+Q131+Q131*'Jerarq. Riesgos Plazo'!$R$77</f>
        <v>0.28071711523373433</v>
      </c>
      <c r="S131" s="38">
        <f>+T131*(-'Jerarq. Riesgos Costos'!$P$76+1)</f>
        <v>432000</v>
      </c>
      <c r="T131" s="203">
        <f t="shared" si="30"/>
        <v>480000</v>
      </c>
      <c r="U131" s="34">
        <f>+T131*('Jerarq. Riesgos Costos'!$Q$76+1)</f>
        <v>607182.03632391139</v>
      </c>
      <c r="V131" s="29"/>
      <c r="W131" s="4">
        <v>0.2</v>
      </c>
      <c r="X131" s="256">
        <f>+W131*('Jerarq. Riesgos Plazo'!$M$65/100+1)</f>
        <v>0.20023907379964415</v>
      </c>
      <c r="Y131" s="29"/>
      <c r="Z131" s="4"/>
      <c r="AA131" s="30"/>
      <c r="AB131" s="29"/>
      <c r="AC131" s="4">
        <v>0.2</v>
      </c>
      <c r="AD131" s="256">
        <f>+AC131*('Jerarq. Riesgos Plazo'!$M$65/100+1)</f>
        <v>0.20023907379964415</v>
      </c>
      <c r="AE131" s="29"/>
      <c r="AF131" s="4"/>
      <c r="AG131" s="30"/>
    </row>
    <row r="132" spans="2:33" ht="18" x14ac:dyDescent="0.25">
      <c r="B132" s="110" t="s">
        <v>518</v>
      </c>
      <c r="C132" s="115" t="s">
        <v>771</v>
      </c>
      <c r="D132" s="112" t="s">
        <v>539</v>
      </c>
      <c r="E132" s="113" t="s">
        <v>472</v>
      </c>
      <c r="F132" s="113">
        <v>280</v>
      </c>
      <c r="G132" s="265">
        <v>2</v>
      </c>
      <c r="H132" s="114">
        <v>12000</v>
      </c>
      <c r="I132" s="129">
        <f t="shared" si="34"/>
        <v>3360000</v>
      </c>
      <c r="J132" s="343">
        <f>+K132-'Jerarq. Riesgos Plazo'!$K$77*'Aplicación proyecto JE'!K132</f>
        <v>1.8</v>
      </c>
      <c r="K132" s="4">
        <v>2</v>
      </c>
      <c r="L132" s="202">
        <f>+K132*('Jerarq. Riesgos Plazo'!$L$77+1)</f>
        <v>3.1661350927590211</v>
      </c>
      <c r="M132" s="64">
        <f>+N132*(-'Jerarq. Riesgos Costos'!$J$76+1)</f>
        <v>3024000</v>
      </c>
      <c r="N132" s="203">
        <f t="shared" si="35"/>
        <v>3360000</v>
      </c>
      <c r="O132" s="49">
        <f>+N132*('Jerarq. Riesgos Costos'!$K$76+1)</f>
        <v>4195768.5635668449</v>
      </c>
      <c r="P132" s="64">
        <f>+Q132-Q132*'Jerarq. Riesgos Plazo'!$Q$77</f>
        <v>1.8</v>
      </c>
      <c r="Q132" s="4">
        <f t="shared" si="24"/>
        <v>2</v>
      </c>
      <c r="R132" s="264">
        <f>+Q132+Q132*'Jerarq. Riesgos Plazo'!$R$77</f>
        <v>2.807171152337343</v>
      </c>
      <c r="S132" s="38">
        <f>+T132*(-'Jerarq. Riesgos Costos'!$P$76+1)</f>
        <v>3024000</v>
      </c>
      <c r="T132" s="203">
        <f t="shared" si="30"/>
        <v>3360000</v>
      </c>
      <c r="U132" s="34">
        <f>+T132*('Jerarq. Riesgos Costos'!$Q$76+1)</f>
        <v>4250274.2542673806</v>
      </c>
      <c r="V132" s="29"/>
      <c r="W132" s="4">
        <v>2</v>
      </c>
      <c r="X132" s="256">
        <f>+W132*('Jerarq. Riesgos Plazo'!$M$65/100+1)</f>
        <v>2.0023907379964414</v>
      </c>
      <c r="Y132" s="29"/>
      <c r="Z132" s="4"/>
      <c r="AA132" s="30"/>
      <c r="AB132" s="29"/>
      <c r="AC132" s="4">
        <v>2</v>
      </c>
      <c r="AD132" s="256">
        <f>+AC132*('Jerarq. Riesgos Plazo'!$M$65/100+1)</f>
        <v>2.0023907379964414</v>
      </c>
      <c r="AE132" s="29"/>
      <c r="AF132" s="4"/>
      <c r="AG132" s="30"/>
    </row>
    <row r="133" spans="2:33" ht="18" x14ac:dyDescent="0.25">
      <c r="B133" s="110" t="s">
        <v>518</v>
      </c>
      <c r="C133" s="115" t="s">
        <v>772</v>
      </c>
      <c r="D133" s="112" t="s">
        <v>540</v>
      </c>
      <c r="E133" s="113" t="s">
        <v>472</v>
      </c>
      <c r="F133" s="113">
        <v>439</v>
      </c>
      <c r="G133" s="265">
        <v>1</v>
      </c>
      <c r="H133" s="114">
        <v>6000</v>
      </c>
      <c r="I133" s="129">
        <f t="shared" si="34"/>
        <v>2634000</v>
      </c>
      <c r="J133" s="343">
        <f>+K133-'Jerarq. Riesgos Plazo'!$K$77*'Aplicación proyecto JE'!K133</f>
        <v>0.9</v>
      </c>
      <c r="K133" s="4">
        <v>1</v>
      </c>
      <c r="L133" s="202">
        <f>+K133*('Jerarq. Riesgos Plazo'!$L$77+1)</f>
        <v>1.5830675463795105</v>
      </c>
      <c r="M133" s="64">
        <f>+N133*(-'Jerarq. Riesgos Costos'!$J$76+1)</f>
        <v>2370600</v>
      </c>
      <c r="N133" s="203">
        <f t="shared" si="35"/>
        <v>2634000</v>
      </c>
      <c r="O133" s="49">
        <f>+N133*('Jerarq. Riesgos Costos'!$K$76+1)</f>
        <v>3289182.8560818662</v>
      </c>
      <c r="P133" s="64">
        <f>+Q133-Q133*'Jerarq. Riesgos Plazo'!$Q$77</f>
        <v>0.9</v>
      </c>
      <c r="Q133" s="4">
        <f t="shared" si="24"/>
        <v>1</v>
      </c>
      <c r="R133" s="264">
        <f>+Q133+Q133*'Jerarq. Riesgos Plazo'!$R$77</f>
        <v>1.4035855761686715</v>
      </c>
      <c r="S133" s="38">
        <f>+T133*(-'Jerarq. Riesgos Costos'!$P$76+1)</f>
        <v>2370600</v>
      </c>
      <c r="T133" s="203">
        <f t="shared" si="30"/>
        <v>2634000</v>
      </c>
      <c r="U133" s="34">
        <f>+T133*('Jerarq. Riesgos Costos'!$Q$76+1)</f>
        <v>3331911.4243274638</v>
      </c>
      <c r="V133" s="29"/>
      <c r="W133" s="4">
        <v>1</v>
      </c>
      <c r="X133" s="256">
        <f>+W133*('Jerarq. Riesgos Plazo'!$M$65/100+1)</f>
        <v>1.0011953689982207</v>
      </c>
      <c r="Y133" s="29"/>
      <c r="Z133" s="4"/>
      <c r="AA133" s="30"/>
      <c r="AB133" s="29"/>
      <c r="AC133" s="4">
        <v>1</v>
      </c>
      <c r="AD133" s="256">
        <f>+AC133*('Jerarq. Riesgos Plazo'!$M$65/100+1)</f>
        <v>1.0011953689982207</v>
      </c>
      <c r="AE133" s="29"/>
      <c r="AF133" s="4"/>
      <c r="AG133" s="30"/>
    </row>
    <row r="134" spans="2:33" ht="18" x14ac:dyDescent="0.25">
      <c r="B134" s="110" t="s">
        <v>518</v>
      </c>
      <c r="C134" s="115" t="s">
        <v>773</v>
      </c>
      <c r="D134" s="112" t="s">
        <v>541</v>
      </c>
      <c r="E134" s="113" t="s">
        <v>472</v>
      </c>
      <c r="F134" s="113">
        <v>40</v>
      </c>
      <c r="G134" s="265">
        <v>0.2</v>
      </c>
      <c r="H134" s="114">
        <v>6000</v>
      </c>
      <c r="I134" s="129">
        <f t="shared" si="34"/>
        <v>240000</v>
      </c>
      <c r="J134" s="343">
        <f>+K134-'Jerarq. Riesgos Plazo'!$K$77*'Aplicación proyecto JE'!K134</f>
        <v>0.18</v>
      </c>
      <c r="K134" s="4">
        <v>0.2</v>
      </c>
      <c r="L134" s="202">
        <f>+K134*('Jerarq. Riesgos Plazo'!$L$77+1)</f>
        <v>0.31661350927590215</v>
      </c>
      <c r="M134" s="64">
        <f>+N134*(-'Jerarq. Riesgos Costos'!$J$76+1)</f>
        <v>216000</v>
      </c>
      <c r="N134" s="203">
        <f t="shared" si="35"/>
        <v>240000</v>
      </c>
      <c r="O134" s="49">
        <f>+N134*('Jerarq. Riesgos Costos'!$K$76+1)</f>
        <v>299697.75454048894</v>
      </c>
      <c r="P134" s="64">
        <f>+Q134-Q134*'Jerarq. Riesgos Plazo'!$Q$77</f>
        <v>0.18</v>
      </c>
      <c r="Q134" s="4">
        <f t="shared" ref="Q134:Q148" si="36">+K134</f>
        <v>0.2</v>
      </c>
      <c r="R134" s="264">
        <f>+Q134+Q134*'Jerarq. Riesgos Plazo'!$R$77</f>
        <v>0.28071711523373433</v>
      </c>
      <c r="S134" s="38">
        <f>+T134*(-'Jerarq. Riesgos Costos'!$P$76+1)</f>
        <v>216000</v>
      </c>
      <c r="T134" s="203">
        <f t="shared" si="30"/>
        <v>240000</v>
      </c>
      <c r="U134" s="34">
        <f>+T134*('Jerarq. Riesgos Costos'!$Q$76+1)</f>
        <v>303591.0181619557</v>
      </c>
      <c r="V134" s="29"/>
      <c r="W134" s="4">
        <v>0.2</v>
      </c>
      <c r="X134" s="256">
        <f>+W134*('Jerarq. Riesgos Plazo'!$M$65/100+1)</f>
        <v>0.20023907379964415</v>
      </c>
      <c r="Y134" s="29"/>
      <c r="Z134" s="4"/>
      <c r="AA134" s="30"/>
      <c r="AB134" s="29"/>
      <c r="AC134" s="4">
        <v>0.2</v>
      </c>
      <c r="AD134" s="256">
        <f>+AC134*('Jerarq. Riesgos Plazo'!$M$65/100+1)</f>
        <v>0.20023907379964415</v>
      </c>
      <c r="AE134" s="29"/>
      <c r="AF134" s="4"/>
      <c r="AG134" s="30"/>
    </row>
    <row r="135" spans="2:33" ht="18" x14ac:dyDescent="0.25">
      <c r="B135" s="110" t="s">
        <v>518</v>
      </c>
      <c r="C135" s="115" t="s">
        <v>774</v>
      </c>
      <c r="D135" s="112" t="s">
        <v>542</v>
      </c>
      <c r="E135" s="113" t="s">
        <v>472</v>
      </c>
      <c r="F135" s="113">
        <v>24</v>
      </c>
      <c r="G135" s="265">
        <v>0.1</v>
      </c>
      <c r="H135" s="114">
        <v>6000</v>
      </c>
      <c r="I135" s="129">
        <f t="shared" si="34"/>
        <v>144000</v>
      </c>
      <c r="J135" s="343">
        <f>+K135-'Jerarq. Riesgos Plazo'!$K$77*'Aplicación proyecto JE'!K135</f>
        <v>0.09</v>
      </c>
      <c r="K135" s="4">
        <v>0.1</v>
      </c>
      <c r="L135" s="202">
        <f>+K135*('Jerarq. Riesgos Plazo'!$L$77+1)</f>
        <v>0.15830675463795107</v>
      </c>
      <c r="M135" s="64">
        <f>+N135*(-'Jerarq. Riesgos Costos'!$J$76+1)</f>
        <v>129600</v>
      </c>
      <c r="N135" s="203">
        <f t="shared" si="35"/>
        <v>144000</v>
      </c>
      <c r="O135" s="49">
        <f>+N135*('Jerarq. Riesgos Costos'!$K$76+1)</f>
        <v>179818.65272429335</v>
      </c>
      <c r="P135" s="64">
        <f>+Q135-Q135*'Jerarq. Riesgos Plazo'!$Q$77</f>
        <v>0.09</v>
      </c>
      <c r="Q135" s="4">
        <f t="shared" si="36"/>
        <v>0.1</v>
      </c>
      <c r="R135" s="264">
        <f>+Q135+Q135*'Jerarq. Riesgos Plazo'!$R$77</f>
        <v>0.14035855761686716</v>
      </c>
      <c r="S135" s="38">
        <f>+T135*(-'Jerarq. Riesgos Costos'!$P$76+1)</f>
        <v>129600</v>
      </c>
      <c r="T135" s="203">
        <f t="shared" si="30"/>
        <v>144000</v>
      </c>
      <c r="U135" s="34">
        <f>+T135*('Jerarq. Riesgos Costos'!$Q$76+1)</f>
        <v>182154.61089717344</v>
      </c>
      <c r="V135" s="29"/>
      <c r="W135" s="4">
        <v>0.1</v>
      </c>
      <c r="X135" s="256">
        <f>+W135*('Jerarq. Riesgos Plazo'!$M$65/100+1)</f>
        <v>0.10011953689982207</v>
      </c>
      <c r="Y135" s="29"/>
      <c r="Z135" s="4"/>
      <c r="AA135" s="30"/>
      <c r="AB135" s="29"/>
      <c r="AC135" s="4">
        <v>0.1</v>
      </c>
      <c r="AD135" s="256">
        <f>+AC135*('Jerarq. Riesgos Plazo'!$M$65/100+1)</f>
        <v>0.10011953689982207</v>
      </c>
      <c r="AE135" s="29"/>
      <c r="AF135" s="4"/>
      <c r="AG135" s="30"/>
    </row>
    <row r="136" spans="2:33" ht="18" x14ac:dyDescent="0.25">
      <c r="B136" s="110" t="s">
        <v>518</v>
      </c>
      <c r="C136" s="115" t="s">
        <v>775</v>
      </c>
      <c r="D136" s="112" t="s">
        <v>543</v>
      </c>
      <c r="E136" s="113" t="s">
        <v>472</v>
      </c>
      <c r="F136" s="113">
        <v>52</v>
      </c>
      <c r="G136" s="265">
        <v>0.2</v>
      </c>
      <c r="H136" s="114">
        <v>6000</v>
      </c>
      <c r="I136" s="129">
        <f t="shared" si="34"/>
        <v>312000</v>
      </c>
      <c r="J136" s="343">
        <f>+K136-'Jerarq. Riesgos Plazo'!$K$77*'Aplicación proyecto JE'!K136</f>
        <v>0.18</v>
      </c>
      <c r="K136" s="4">
        <v>0.2</v>
      </c>
      <c r="L136" s="202">
        <f>+K136*('Jerarq. Riesgos Plazo'!$L$77+1)</f>
        <v>0.31661350927590215</v>
      </c>
      <c r="M136" s="64">
        <f>+N136*(-'Jerarq. Riesgos Costos'!$J$76+1)</f>
        <v>280800</v>
      </c>
      <c r="N136" s="203">
        <f t="shared" si="35"/>
        <v>312000</v>
      </c>
      <c r="O136" s="49">
        <f>+N136*('Jerarq. Riesgos Costos'!$K$76+1)</f>
        <v>389607.08090263559</v>
      </c>
      <c r="P136" s="64">
        <f>+Q136-Q136*'Jerarq. Riesgos Plazo'!$Q$77</f>
        <v>0.18</v>
      </c>
      <c r="Q136" s="4">
        <f t="shared" si="36"/>
        <v>0.2</v>
      </c>
      <c r="R136" s="264">
        <f>+Q136+Q136*'Jerarq. Riesgos Plazo'!$R$77</f>
        <v>0.28071711523373433</v>
      </c>
      <c r="S136" s="38">
        <f>+T136*(-'Jerarq. Riesgos Costos'!$P$76+1)</f>
        <v>280800</v>
      </c>
      <c r="T136" s="203">
        <f t="shared" si="30"/>
        <v>312000</v>
      </c>
      <c r="U136" s="34">
        <f>+T136*('Jerarq. Riesgos Costos'!$Q$76+1)</f>
        <v>394668.32361054246</v>
      </c>
      <c r="V136" s="29"/>
      <c r="W136" s="4">
        <v>0.2</v>
      </c>
      <c r="X136" s="256">
        <f>+W136*('Jerarq. Riesgos Plazo'!$M$65/100+1)</f>
        <v>0.20023907379964415</v>
      </c>
      <c r="Y136" s="29"/>
      <c r="Z136" s="4"/>
      <c r="AA136" s="30"/>
      <c r="AB136" s="29"/>
      <c r="AC136" s="4">
        <v>0.2</v>
      </c>
      <c r="AD136" s="256">
        <f>+AC136*('Jerarq. Riesgos Plazo'!$M$65/100+1)</f>
        <v>0.20023907379964415</v>
      </c>
      <c r="AE136" s="29"/>
      <c r="AF136" s="4"/>
      <c r="AG136" s="30"/>
    </row>
    <row r="137" spans="2:33" ht="18" x14ac:dyDescent="0.25">
      <c r="B137" s="110" t="s">
        <v>518</v>
      </c>
      <c r="C137" s="115" t="s">
        <v>776</v>
      </c>
      <c r="D137" s="112" t="s">
        <v>544</v>
      </c>
      <c r="E137" s="113" t="s">
        <v>472</v>
      </c>
      <c r="F137" s="113">
        <v>19</v>
      </c>
      <c r="G137" s="265">
        <v>0.1</v>
      </c>
      <c r="H137" s="114">
        <v>6000</v>
      </c>
      <c r="I137" s="129">
        <f t="shared" si="34"/>
        <v>114000</v>
      </c>
      <c r="J137" s="343">
        <f>+K137-'Jerarq. Riesgos Plazo'!$K$77*'Aplicación proyecto JE'!K137</f>
        <v>0.09</v>
      </c>
      <c r="K137" s="4">
        <v>0.1</v>
      </c>
      <c r="L137" s="202">
        <f>+K137*('Jerarq. Riesgos Plazo'!$L$77+1)</f>
        <v>0.15830675463795107</v>
      </c>
      <c r="M137" s="64">
        <f>+N137*(-'Jerarq. Riesgos Costos'!$J$76+1)</f>
        <v>102600</v>
      </c>
      <c r="N137" s="203">
        <f t="shared" si="35"/>
        <v>114000</v>
      </c>
      <c r="O137" s="49">
        <f>+N137*('Jerarq. Riesgos Costos'!$K$76+1)</f>
        <v>142356.43340673225</v>
      </c>
      <c r="P137" s="64">
        <f>+Q137-Q137*'Jerarq. Riesgos Plazo'!$Q$77</f>
        <v>0.09</v>
      </c>
      <c r="Q137" s="4">
        <f t="shared" si="36"/>
        <v>0.1</v>
      </c>
      <c r="R137" s="264">
        <f>+Q137+Q137*'Jerarq. Riesgos Plazo'!$R$77</f>
        <v>0.14035855761686716</v>
      </c>
      <c r="S137" s="38">
        <f>+T137*(-'Jerarq. Riesgos Costos'!$P$76+1)</f>
        <v>102600</v>
      </c>
      <c r="T137" s="203">
        <f t="shared" si="30"/>
        <v>114000</v>
      </c>
      <c r="U137" s="34">
        <f>+T137*('Jerarq. Riesgos Costos'!$Q$76+1)</f>
        <v>144205.73362692897</v>
      </c>
      <c r="V137" s="29"/>
      <c r="W137" s="4">
        <v>0.1</v>
      </c>
      <c r="X137" s="256">
        <f>+W137*('Jerarq. Riesgos Plazo'!$M$65/100+1)</f>
        <v>0.10011953689982207</v>
      </c>
      <c r="Y137" s="29"/>
      <c r="Z137" s="4"/>
      <c r="AA137" s="30"/>
      <c r="AB137" s="29"/>
      <c r="AC137" s="4">
        <v>0.1</v>
      </c>
      <c r="AD137" s="256">
        <f>+AC137*('Jerarq. Riesgos Plazo'!$M$65/100+1)</f>
        <v>0.10011953689982207</v>
      </c>
      <c r="AE137" s="29"/>
      <c r="AF137" s="4"/>
      <c r="AG137" s="30"/>
    </row>
    <row r="138" spans="2:33" ht="18" x14ac:dyDescent="0.25">
      <c r="B138" s="110" t="s">
        <v>518</v>
      </c>
      <c r="C138" s="115" t="s">
        <v>777</v>
      </c>
      <c r="D138" s="112" t="s">
        <v>545</v>
      </c>
      <c r="E138" s="113" t="s">
        <v>472</v>
      </c>
      <c r="F138" s="113">
        <v>115</v>
      </c>
      <c r="G138" s="265">
        <v>1</v>
      </c>
      <c r="H138" s="114">
        <v>24000</v>
      </c>
      <c r="I138" s="129">
        <f t="shared" si="34"/>
        <v>2760000</v>
      </c>
      <c r="J138" s="343">
        <f>+K138-'Jerarq. Riesgos Plazo'!$K$77*'Aplicación proyecto JE'!K138</f>
        <v>0.9</v>
      </c>
      <c r="K138" s="4">
        <v>1</v>
      </c>
      <c r="L138" s="202">
        <f>+K138*('Jerarq. Riesgos Plazo'!$L$77+1)</f>
        <v>1.5830675463795105</v>
      </c>
      <c r="M138" s="64">
        <f>+N138*(-'Jerarq. Riesgos Costos'!$J$76+1)</f>
        <v>2484000</v>
      </c>
      <c r="N138" s="203">
        <f t="shared" si="35"/>
        <v>2760000</v>
      </c>
      <c r="O138" s="49">
        <f>+N138*('Jerarq. Riesgos Costos'!$K$76+1)</f>
        <v>3446524.1772156227</v>
      </c>
      <c r="P138" s="64">
        <f>+Q138-Q138*'Jerarq. Riesgos Plazo'!$Q$77</f>
        <v>0.9</v>
      </c>
      <c r="Q138" s="4">
        <f t="shared" si="36"/>
        <v>1</v>
      </c>
      <c r="R138" s="264">
        <f>+Q138+Q138*'Jerarq. Riesgos Plazo'!$R$77</f>
        <v>1.4035855761686715</v>
      </c>
      <c r="S138" s="38">
        <f>+T138*(-'Jerarq. Riesgos Costos'!$P$76+1)</f>
        <v>2484000</v>
      </c>
      <c r="T138" s="203">
        <f t="shared" si="30"/>
        <v>2760000</v>
      </c>
      <c r="U138" s="34">
        <f>+T138*('Jerarq. Riesgos Costos'!$Q$76+1)</f>
        <v>3491296.708862491</v>
      </c>
      <c r="V138" s="29"/>
      <c r="W138" s="4">
        <v>1</v>
      </c>
      <c r="X138" s="256">
        <f>+W138*('Jerarq. Riesgos Plazo'!$M$65/100+1)</f>
        <v>1.0011953689982207</v>
      </c>
      <c r="Y138" s="29"/>
      <c r="Z138" s="4"/>
      <c r="AA138" s="30"/>
      <c r="AB138" s="29"/>
      <c r="AC138" s="4">
        <v>1</v>
      </c>
      <c r="AD138" s="256">
        <f>+AC138*('Jerarq. Riesgos Plazo'!$M$65/100+1)</f>
        <v>1.0011953689982207</v>
      </c>
      <c r="AE138" s="29"/>
      <c r="AF138" s="4"/>
      <c r="AG138" s="30"/>
    </row>
    <row r="139" spans="2:33" ht="18" x14ac:dyDescent="0.25">
      <c r="B139" s="110" t="s">
        <v>518</v>
      </c>
      <c r="C139" s="115" t="s">
        <v>778</v>
      </c>
      <c r="D139" s="112" t="s">
        <v>546</v>
      </c>
      <c r="E139" s="113" t="s">
        <v>453</v>
      </c>
      <c r="F139" s="113">
        <v>10</v>
      </c>
      <c r="G139" s="265">
        <v>0.1</v>
      </c>
      <c r="H139" s="114">
        <v>30000</v>
      </c>
      <c r="I139" s="129">
        <f t="shared" si="34"/>
        <v>300000</v>
      </c>
      <c r="J139" s="343">
        <f>+K139-'Jerarq. Riesgos Plazo'!$K$77*'Aplicación proyecto JE'!K139</f>
        <v>0.09</v>
      </c>
      <c r="K139" s="4">
        <v>0.1</v>
      </c>
      <c r="L139" s="202">
        <f>+K139*('Jerarq. Riesgos Plazo'!$L$77+1)</f>
        <v>0.15830675463795107</v>
      </c>
      <c r="M139" s="64">
        <f>+N139*(-'Jerarq. Riesgos Costos'!$J$76+1)</f>
        <v>270000</v>
      </c>
      <c r="N139" s="203">
        <f t="shared" si="35"/>
        <v>300000</v>
      </c>
      <c r="O139" s="49">
        <f>+N139*('Jerarq. Riesgos Costos'!$K$76+1)</f>
        <v>374622.19317561114</v>
      </c>
      <c r="P139" s="64">
        <f>+Q139-Q139*'Jerarq. Riesgos Plazo'!$Q$77</f>
        <v>0.09</v>
      </c>
      <c r="Q139" s="4">
        <f t="shared" si="36"/>
        <v>0.1</v>
      </c>
      <c r="R139" s="264">
        <f>+Q139+Q139*'Jerarq. Riesgos Plazo'!$R$77</f>
        <v>0.14035855761686716</v>
      </c>
      <c r="S139" s="38">
        <f>+T139*(-'Jerarq. Riesgos Costos'!$P$76+1)</f>
        <v>270000</v>
      </c>
      <c r="T139" s="203">
        <f t="shared" si="30"/>
        <v>300000</v>
      </c>
      <c r="U139" s="34">
        <f>+T139*('Jerarq. Riesgos Costos'!$Q$76+1)</f>
        <v>379488.77270244464</v>
      </c>
      <c r="V139" s="29"/>
      <c r="W139" s="4">
        <v>0.1</v>
      </c>
      <c r="X139" s="256">
        <f>+W139*('Jerarq. Riesgos Plazo'!$M$65/100+1)</f>
        <v>0.10011953689982207</v>
      </c>
      <c r="Y139" s="29"/>
      <c r="Z139" s="4"/>
      <c r="AA139" s="30"/>
      <c r="AB139" s="29"/>
      <c r="AC139" s="4">
        <v>0.1</v>
      </c>
      <c r="AD139" s="256">
        <f>+AC139*('Jerarq. Riesgos Plazo'!$M$65/100+1)</f>
        <v>0.10011953689982207</v>
      </c>
      <c r="AE139" s="29"/>
      <c r="AF139" s="4"/>
      <c r="AG139" s="30"/>
    </row>
    <row r="140" spans="2:33" ht="18" x14ac:dyDescent="0.25">
      <c r="B140" s="110" t="s">
        <v>518</v>
      </c>
      <c r="C140" s="115" t="s">
        <v>779</v>
      </c>
      <c r="D140" s="112" t="s">
        <v>547</v>
      </c>
      <c r="E140" s="113" t="s">
        <v>453</v>
      </c>
      <c r="F140" s="113">
        <v>1</v>
      </c>
      <c r="G140" s="265">
        <v>0.1</v>
      </c>
      <c r="H140" s="114">
        <v>60000</v>
      </c>
      <c r="I140" s="129">
        <f t="shared" si="34"/>
        <v>60000</v>
      </c>
      <c r="J140" s="343">
        <f>+K140-'Jerarq. Riesgos Plazo'!$K$77*'Aplicación proyecto JE'!K140</f>
        <v>0.09</v>
      </c>
      <c r="K140" s="4">
        <v>0.1</v>
      </c>
      <c r="L140" s="202">
        <f>+K140*('Jerarq. Riesgos Plazo'!$L$77+1)</f>
        <v>0.15830675463795107</v>
      </c>
      <c r="M140" s="64">
        <f>+N140*(-'Jerarq. Riesgos Costos'!$J$76+1)</f>
        <v>54000</v>
      </c>
      <c r="N140" s="203">
        <f t="shared" si="35"/>
        <v>60000</v>
      </c>
      <c r="O140" s="49">
        <f>+N140*('Jerarq. Riesgos Costos'!$K$76+1)</f>
        <v>74924.438635122235</v>
      </c>
      <c r="P140" s="64">
        <f>+Q140-Q140*'Jerarq. Riesgos Plazo'!$Q$77</f>
        <v>0.09</v>
      </c>
      <c r="Q140" s="4">
        <f t="shared" si="36"/>
        <v>0.1</v>
      </c>
      <c r="R140" s="264">
        <f>+Q140+Q140*'Jerarq. Riesgos Plazo'!$R$77</f>
        <v>0.14035855761686716</v>
      </c>
      <c r="S140" s="38">
        <f>+T140*(-'Jerarq. Riesgos Costos'!$P$76+1)</f>
        <v>54000</v>
      </c>
      <c r="T140" s="203">
        <f t="shared" si="30"/>
        <v>60000</v>
      </c>
      <c r="U140" s="34">
        <f>+T140*('Jerarq. Riesgos Costos'!$Q$76+1)</f>
        <v>75897.754540488924</v>
      </c>
      <c r="V140" s="29"/>
      <c r="W140" s="4">
        <v>0.1</v>
      </c>
      <c r="X140" s="256">
        <f>+W140*('Jerarq. Riesgos Plazo'!$M$65/100+1)</f>
        <v>0.10011953689982207</v>
      </c>
      <c r="Y140" s="29"/>
      <c r="Z140" s="4"/>
      <c r="AA140" s="30"/>
      <c r="AB140" s="29"/>
      <c r="AC140" s="4">
        <v>0.1</v>
      </c>
      <c r="AD140" s="256">
        <f>+AC140*('Jerarq. Riesgos Plazo'!$M$65/100+1)</f>
        <v>0.10011953689982207</v>
      </c>
      <c r="AE140" s="29"/>
      <c r="AF140" s="4"/>
      <c r="AG140" s="30"/>
    </row>
    <row r="141" spans="2:33" ht="18" x14ac:dyDescent="0.25">
      <c r="B141" s="110" t="s">
        <v>518</v>
      </c>
      <c r="C141" s="115" t="s">
        <v>780</v>
      </c>
      <c r="D141" s="112" t="s">
        <v>548</v>
      </c>
      <c r="E141" s="113" t="s">
        <v>453</v>
      </c>
      <c r="F141" s="113">
        <v>2</v>
      </c>
      <c r="G141" s="265">
        <v>0.1</v>
      </c>
      <c r="H141" s="114">
        <v>60000</v>
      </c>
      <c r="I141" s="129">
        <f t="shared" si="34"/>
        <v>120000</v>
      </c>
      <c r="J141" s="343">
        <f>+K141-'Jerarq. Riesgos Plazo'!$K$77*'Aplicación proyecto JE'!K141</f>
        <v>0.09</v>
      </c>
      <c r="K141" s="4">
        <v>0.1</v>
      </c>
      <c r="L141" s="202">
        <f>+K141*('Jerarq. Riesgos Plazo'!$L$77+1)</f>
        <v>0.15830675463795107</v>
      </c>
      <c r="M141" s="64">
        <f>+N141*(-'Jerarq. Riesgos Costos'!$J$76+1)</f>
        <v>108000</v>
      </c>
      <c r="N141" s="203">
        <f t="shared" si="35"/>
        <v>120000</v>
      </c>
      <c r="O141" s="49">
        <f>+N141*('Jerarq. Riesgos Costos'!$K$76+1)</f>
        <v>149848.87727024447</v>
      </c>
      <c r="P141" s="64">
        <f>+Q141-Q141*'Jerarq. Riesgos Plazo'!$Q$77</f>
        <v>0.09</v>
      </c>
      <c r="Q141" s="4">
        <f t="shared" si="36"/>
        <v>0.1</v>
      </c>
      <c r="R141" s="264">
        <f>+Q141+Q141*'Jerarq. Riesgos Plazo'!$R$77</f>
        <v>0.14035855761686716</v>
      </c>
      <c r="S141" s="38">
        <f>+T141*(-'Jerarq. Riesgos Costos'!$P$76+1)</f>
        <v>108000</v>
      </c>
      <c r="T141" s="203">
        <f t="shared" si="30"/>
        <v>120000</v>
      </c>
      <c r="U141" s="34">
        <f>+T141*('Jerarq. Riesgos Costos'!$Q$76+1)</f>
        <v>151795.50908097785</v>
      </c>
      <c r="V141" s="29"/>
      <c r="W141" s="4">
        <v>0.1</v>
      </c>
      <c r="X141" s="256">
        <f>+W141*('Jerarq. Riesgos Plazo'!$M$65/100+1)</f>
        <v>0.10011953689982207</v>
      </c>
      <c r="Y141" s="29"/>
      <c r="Z141" s="4"/>
      <c r="AA141" s="30"/>
      <c r="AB141" s="29"/>
      <c r="AC141" s="4">
        <v>0.1</v>
      </c>
      <c r="AD141" s="256">
        <f>+AC141*('Jerarq. Riesgos Plazo'!$M$65/100+1)</f>
        <v>0.10011953689982207</v>
      </c>
      <c r="AE141" s="29"/>
      <c r="AF141" s="4"/>
      <c r="AG141" s="30"/>
    </row>
    <row r="142" spans="2:33" ht="18" x14ac:dyDescent="0.25">
      <c r="B142" s="110" t="s">
        <v>518</v>
      </c>
      <c r="C142" s="115" t="s">
        <v>781</v>
      </c>
      <c r="D142" s="112" t="s">
        <v>549</v>
      </c>
      <c r="E142" s="113" t="s">
        <v>453</v>
      </c>
      <c r="F142" s="113">
        <v>2</v>
      </c>
      <c r="G142" s="265">
        <v>0.2</v>
      </c>
      <c r="H142" s="114">
        <v>60000</v>
      </c>
      <c r="I142" s="129">
        <f t="shared" si="34"/>
        <v>120000</v>
      </c>
      <c r="J142" s="343">
        <f>+K142-'Jerarq. Riesgos Plazo'!$K$77*'Aplicación proyecto JE'!K142</f>
        <v>0.18</v>
      </c>
      <c r="K142" s="4">
        <v>0.2</v>
      </c>
      <c r="L142" s="202">
        <f>+K142*('Jerarq. Riesgos Plazo'!$L$77+1)</f>
        <v>0.31661350927590215</v>
      </c>
      <c r="M142" s="64">
        <f>+N142*(-'Jerarq. Riesgos Costos'!$J$76+1)</f>
        <v>108000</v>
      </c>
      <c r="N142" s="203">
        <f t="shared" si="35"/>
        <v>120000</v>
      </c>
      <c r="O142" s="49">
        <f>+N142*('Jerarq. Riesgos Costos'!$K$76+1)</f>
        <v>149848.87727024447</v>
      </c>
      <c r="P142" s="64">
        <f>+Q142-Q142*'Jerarq. Riesgos Plazo'!$Q$77</f>
        <v>0.18</v>
      </c>
      <c r="Q142" s="4">
        <f t="shared" si="36"/>
        <v>0.2</v>
      </c>
      <c r="R142" s="264">
        <f>+Q142+Q142*'Jerarq. Riesgos Plazo'!$R$77</f>
        <v>0.28071711523373433</v>
      </c>
      <c r="S142" s="38">
        <f>+T142*(-'Jerarq. Riesgos Costos'!$P$76+1)</f>
        <v>108000</v>
      </c>
      <c r="T142" s="203">
        <f t="shared" si="30"/>
        <v>120000</v>
      </c>
      <c r="U142" s="34">
        <f>+T142*('Jerarq. Riesgos Costos'!$Q$76+1)</f>
        <v>151795.50908097785</v>
      </c>
      <c r="V142" s="29"/>
      <c r="W142" s="4">
        <v>0.2</v>
      </c>
      <c r="X142" s="256">
        <f>+W142*('Jerarq. Riesgos Plazo'!$M$65/100+1)</f>
        <v>0.20023907379964415</v>
      </c>
      <c r="Y142" s="29"/>
      <c r="Z142" s="4"/>
      <c r="AA142" s="30"/>
      <c r="AB142" s="29"/>
      <c r="AC142" s="4">
        <v>0.2</v>
      </c>
      <c r="AD142" s="256">
        <f>+AC142*('Jerarq. Riesgos Plazo'!$M$65/100+1)</f>
        <v>0.20023907379964415</v>
      </c>
      <c r="AE142" s="29"/>
      <c r="AF142" s="4"/>
      <c r="AG142" s="30"/>
    </row>
    <row r="143" spans="2:33" ht="18" x14ac:dyDescent="0.25">
      <c r="B143" s="110" t="s">
        <v>518</v>
      </c>
      <c r="C143" s="115" t="s">
        <v>782</v>
      </c>
      <c r="D143" s="112" t="s">
        <v>550</v>
      </c>
      <c r="E143" s="113" t="s">
        <v>453</v>
      </c>
      <c r="F143" s="113">
        <v>1</v>
      </c>
      <c r="G143" s="265">
        <v>0.1</v>
      </c>
      <c r="H143" s="114">
        <v>30000</v>
      </c>
      <c r="I143" s="129">
        <f t="shared" si="34"/>
        <v>30000</v>
      </c>
      <c r="J143" s="343">
        <f>+K143-'Jerarq. Riesgos Plazo'!$K$77*'Aplicación proyecto JE'!K143</f>
        <v>0.09</v>
      </c>
      <c r="K143" s="4">
        <v>0.1</v>
      </c>
      <c r="L143" s="202">
        <f>+K143*('Jerarq. Riesgos Plazo'!$L$77+1)</f>
        <v>0.15830675463795107</v>
      </c>
      <c r="M143" s="64">
        <f>+N143*(-'Jerarq. Riesgos Costos'!$J$76+1)</f>
        <v>27000</v>
      </c>
      <c r="N143" s="203">
        <f t="shared" si="35"/>
        <v>30000</v>
      </c>
      <c r="O143" s="49">
        <f>+N143*('Jerarq. Riesgos Costos'!$K$76+1)</f>
        <v>37462.219317561117</v>
      </c>
      <c r="P143" s="64">
        <f>+Q143-Q143*'Jerarq. Riesgos Plazo'!$Q$77</f>
        <v>0.09</v>
      </c>
      <c r="Q143" s="4">
        <f t="shared" si="36"/>
        <v>0.1</v>
      </c>
      <c r="R143" s="264">
        <f>+Q143+Q143*'Jerarq. Riesgos Plazo'!$R$77</f>
        <v>0.14035855761686716</v>
      </c>
      <c r="S143" s="38">
        <f>+T143*(-'Jerarq. Riesgos Costos'!$P$76+1)</f>
        <v>27000</v>
      </c>
      <c r="T143" s="203">
        <f t="shared" si="30"/>
        <v>30000</v>
      </c>
      <c r="U143" s="34">
        <f>+T143*('Jerarq. Riesgos Costos'!$Q$76+1)</f>
        <v>37948.877270244462</v>
      </c>
      <c r="V143" s="29"/>
      <c r="W143" s="4">
        <v>0.1</v>
      </c>
      <c r="X143" s="256">
        <f>+W143*('Jerarq. Riesgos Plazo'!$M$65/100+1)</f>
        <v>0.10011953689982207</v>
      </c>
      <c r="Y143" s="29"/>
      <c r="Z143" s="4"/>
      <c r="AA143" s="30"/>
      <c r="AB143" s="29"/>
      <c r="AC143" s="4">
        <v>0.1</v>
      </c>
      <c r="AD143" s="256">
        <f>+AC143*('Jerarq. Riesgos Plazo'!$M$65/100+1)</f>
        <v>0.10011953689982207</v>
      </c>
      <c r="AE143" s="29"/>
      <c r="AF143" s="4"/>
      <c r="AG143" s="30"/>
    </row>
    <row r="144" spans="2:33" ht="18" x14ac:dyDescent="0.25">
      <c r="B144" s="110" t="s">
        <v>518</v>
      </c>
      <c r="C144" s="115" t="s">
        <v>783</v>
      </c>
      <c r="D144" s="112" t="s">
        <v>551</v>
      </c>
      <c r="E144" s="113" t="s">
        <v>453</v>
      </c>
      <c r="F144" s="113">
        <v>1</v>
      </c>
      <c r="G144" s="265">
        <v>0.1</v>
      </c>
      <c r="H144" s="114">
        <v>60000</v>
      </c>
      <c r="I144" s="129">
        <f t="shared" si="34"/>
        <v>60000</v>
      </c>
      <c r="J144" s="343">
        <f>+K144-'Jerarq. Riesgos Plazo'!$K$77*'Aplicación proyecto JE'!K144</f>
        <v>0.09</v>
      </c>
      <c r="K144" s="4">
        <v>0.1</v>
      </c>
      <c r="L144" s="202">
        <f>+K144*('Jerarq. Riesgos Plazo'!$L$77+1)</f>
        <v>0.15830675463795107</v>
      </c>
      <c r="M144" s="64">
        <f>+N144*(-'Jerarq. Riesgos Costos'!$J$76+1)</f>
        <v>54000</v>
      </c>
      <c r="N144" s="203">
        <f t="shared" si="35"/>
        <v>60000</v>
      </c>
      <c r="O144" s="49">
        <f>+N144*('Jerarq. Riesgos Costos'!$K$76+1)</f>
        <v>74924.438635122235</v>
      </c>
      <c r="P144" s="64">
        <f>+Q144-Q144*'Jerarq. Riesgos Plazo'!$Q$77</f>
        <v>0.09</v>
      </c>
      <c r="Q144" s="4">
        <f t="shared" si="36"/>
        <v>0.1</v>
      </c>
      <c r="R144" s="264">
        <f>+Q144+Q144*'Jerarq. Riesgos Plazo'!$R$77</f>
        <v>0.14035855761686716</v>
      </c>
      <c r="S144" s="38">
        <f>+T144*(-'Jerarq. Riesgos Costos'!$P$76+1)</f>
        <v>54000</v>
      </c>
      <c r="T144" s="203">
        <f t="shared" si="30"/>
        <v>60000</v>
      </c>
      <c r="U144" s="34">
        <f>+T144*('Jerarq. Riesgos Costos'!$Q$76+1)</f>
        <v>75897.754540488924</v>
      </c>
      <c r="V144" s="29"/>
      <c r="W144" s="4">
        <v>0.1</v>
      </c>
      <c r="X144" s="256">
        <f>+W144*('Jerarq. Riesgos Plazo'!$M$65/100+1)</f>
        <v>0.10011953689982207</v>
      </c>
      <c r="Y144" s="29"/>
      <c r="Z144" s="4"/>
      <c r="AA144" s="30"/>
      <c r="AB144" s="29"/>
      <c r="AC144" s="4">
        <v>0.1</v>
      </c>
      <c r="AD144" s="256">
        <f>+AC144*('Jerarq. Riesgos Plazo'!$M$65/100+1)</f>
        <v>0.10011953689982207</v>
      </c>
      <c r="AE144" s="29"/>
      <c r="AF144" s="4"/>
      <c r="AG144" s="30"/>
    </row>
    <row r="145" spans="2:33" ht="18" x14ac:dyDescent="0.25">
      <c r="B145" s="110" t="s">
        <v>518</v>
      </c>
      <c r="C145" s="115" t="s">
        <v>784</v>
      </c>
      <c r="D145" s="112" t="s">
        <v>666</v>
      </c>
      <c r="E145" s="113" t="s">
        <v>472</v>
      </c>
      <c r="F145" s="113">
        <v>15</v>
      </c>
      <c r="G145" s="265">
        <v>0.1</v>
      </c>
      <c r="H145" s="114">
        <v>25000</v>
      </c>
      <c r="I145" s="129">
        <f t="shared" si="34"/>
        <v>375000</v>
      </c>
      <c r="J145" s="343">
        <f>+K145-'Jerarq. Riesgos Plazo'!$K$77*'Aplicación proyecto JE'!K145</f>
        <v>0.09</v>
      </c>
      <c r="K145" s="4">
        <v>0.1</v>
      </c>
      <c r="L145" s="202">
        <f>+K145*('Jerarq. Riesgos Plazo'!$L$77+1)</f>
        <v>0.15830675463795107</v>
      </c>
      <c r="M145" s="64">
        <f>+N145*(-'Jerarq. Riesgos Costos'!$J$76+1)</f>
        <v>337500</v>
      </c>
      <c r="N145" s="203">
        <f t="shared" si="35"/>
        <v>375000</v>
      </c>
      <c r="O145" s="49">
        <f>+N145*('Jerarq. Riesgos Costos'!$K$76+1)</f>
        <v>468277.74146951397</v>
      </c>
      <c r="P145" s="64">
        <f>+Q145-Q145*'Jerarq. Riesgos Plazo'!$Q$77</f>
        <v>0.09</v>
      </c>
      <c r="Q145" s="4">
        <f t="shared" si="36"/>
        <v>0.1</v>
      </c>
      <c r="R145" s="264">
        <f>+Q145+Q145*'Jerarq. Riesgos Plazo'!$R$77</f>
        <v>0.14035855761686716</v>
      </c>
      <c r="S145" s="38">
        <f>+T145*(-'Jerarq. Riesgos Costos'!$P$76+1)</f>
        <v>337500</v>
      </c>
      <c r="T145" s="203">
        <f t="shared" si="30"/>
        <v>375000</v>
      </c>
      <c r="U145" s="34">
        <f>+T145*('Jerarq. Riesgos Costos'!$Q$76+1)</f>
        <v>474360.96587805584</v>
      </c>
      <c r="V145" s="29"/>
      <c r="W145" s="4"/>
      <c r="X145" s="256"/>
      <c r="Y145" s="29"/>
      <c r="Z145" s="4"/>
      <c r="AA145" s="30"/>
      <c r="AB145" s="29"/>
      <c r="AC145" s="4"/>
      <c r="AD145" s="256"/>
      <c r="AE145" s="29"/>
      <c r="AF145" s="4"/>
      <c r="AG145" s="30"/>
    </row>
    <row r="146" spans="2:33" ht="18" x14ac:dyDescent="0.25">
      <c r="B146" s="110" t="s">
        <v>518</v>
      </c>
      <c r="C146" s="115" t="s">
        <v>785</v>
      </c>
      <c r="D146" s="112" t="s">
        <v>667</v>
      </c>
      <c r="E146" s="113" t="s">
        <v>472</v>
      </c>
      <c r="F146" s="113">
        <v>280</v>
      </c>
      <c r="G146" s="265">
        <v>2</v>
      </c>
      <c r="H146" s="114">
        <v>16000</v>
      </c>
      <c r="I146" s="129">
        <f t="shared" si="34"/>
        <v>4480000</v>
      </c>
      <c r="J146" s="343">
        <f>+K146-'Jerarq. Riesgos Plazo'!$K$77*'Aplicación proyecto JE'!K146</f>
        <v>1.8</v>
      </c>
      <c r="K146" s="4">
        <v>2</v>
      </c>
      <c r="L146" s="202">
        <f>+K146*('Jerarq. Riesgos Plazo'!$L$77+1)</f>
        <v>3.1661350927590211</v>
      </c>
      <c r="M146" s="64">
        <f>+N146*(-'Jerarq. Riesgos Costos'!$J$76+1)</f>
        <v>4032000</v>
      </c>
      <c r="N146" s="203">
        <f t="shared" si="35"/>
        <v>4480000</v>
      </c>
      <c r="O146" s="49">
        <f>+N146*('Jerarq. Riesgos Costos'!$K$76+1)</f>
        <v>5594358.0847557932</v>
      </c>
      <c r="P146" s="64">
        <f>+Q146-Q146*'Jerarq. Riesgos Plazo'!$Q$77</f>
        <v>1.8</v>
      </c>
      <c r="Q146" s="4">
        <f t="shared" si="36"/>
        <v>2</v>
      </c>
      <c r="R146" s="264">
        <f>+Q146+Q146*'Jerarq. Riesgos Plazo'!$R$77</f>
        <v>2.807171152337343</v>
      </c>
      <c r="S146" s="38">
        <f>+T146*(-'Jerarq. Riesgos Costos'!$P$76+1)</f>
        <v>4032000</v>
      </c>
      <c r="T146" s="203">
        <f t="shared" si="30"/>
        <v>4480000</v>
      </c>
      <c r="U146" s="34">
        <f>+T146*('Jerarq. Riesgos Costos'!$Q$76+1)</f>
        <v>5667032.3390231738</v>
      </c>
      <c r="V146" s="29"/>
      <c r="W146" s="4"/>
      <c r="X146" s="256"/>
      <c r="Y146" s="29"/>
      <c r="Z146" s="4"/>
      <c r="AA146" s="30"/>
      <c r="AB146" s="29"/>
      <c r="AC146" s="4"/>
      <c r="AD146" s="256"/>
      <c r="AE146" s="29"/>
      <c r="AF146" s="4"/>
      <c r="AG146" s="30"/>
    </row>
    <row r="147" spans="2:33" ht="18" x14ac:dyDescent="0.25">
      <c r="B147" s="251" t="s">
        <v>552</v>
      </c>
      <c r="C147" s="251" t="s">
        <v>466</v>
      </c>
      <c r="D147" s="252" t="s">
        <v>553</v>
      </c>
      <c r="E147" s="253"/>
      <c r="F147" s="254"/>
      <c r="G147" s="261">
        <f>+SUM(G148)</f>
        <v>3</v>
      </c>
      <c r="H147" s="255"/>
      <c r="I147" s="256">
        <f t="shared" ref="I147:O147" si="37">+SUM(I148)</f>
        <v>26600000</v>
      </c>
      <c r="J147" s="261">
        <f t="shared" si="37"/>
        <v>2.7</v>
      </c>
      <c r="K147" s="261">
        <f t="shared" si="37"/>
        <v>3</v>
      </c>
      <c r="L147" s="256">
        <f t="shared" si="37"/>
        <v>4.7492026391385318</v>
      </c>
      <c r="M147" s="260">
        <f t="shared" si="37"/>
        <v>23940000</v>
      </c>
      <c r="N147" s="261">
        <f t="shared" si="37"/>
        <v>26600000</v>
      </c>
      <c r="O147" s="262">
        <f t="shared" si="37"/>
        <v>33216501.128237523</v>
      </c>
      <c r="P147" s="260">
        <f t="shared" ref="P147:U147" si="38">+SUM(P148)</f>
        <v>2.7</v>
      </c>
      <c r="Q147" s="261">
        <f t="shared" si="38"/>
        <v>3</v>
      </c>
      <c r="R147" s="262">
        <f t="shared" si="38"/>
        <v>4.2107567285060146</v>
      </c>
      <c r="S147" s="368">
        <f t="shared" si="38"/>
        <v>23940000</v>
      </c>
      <c r="T147" s="261">
        <f t="shared" si="38"/>
        <v>26600000</v>
      </c>
      <c r="U147" s="262">
        <f t="shared" si="38"/>
        <v>33648004.512950093</v>
      </c>
      <c r="V147" s="260">
        <v>2</v>
      </c>
      <c r="W147" s="261">
        <f>+SUM(W148)</f>
        <v>0</v>
      </c>
      <c r="X147" s="256">
        <f>+W147*('Jerarq. Riesgos Plazo'!$M$65/100+1)</f>
        <v>0</v>
      </c>
      <c r="Y147" s="260"/>
      <c r="Z147" s="261"/>
      <c r="AA147" s="262"/>
      <c r="AB147" s="260">
        <v>2</v>
      </c>
      <c r="AC147" s="261">
        <f>+SUM(AC148)</f>
        <v>0</v>
      </c>
      <c r="AD147" s="256">
        <f>+AC147*('Jerarq. Riesgos Plazo'!$M$65/100+1)</f>
        <v>0</v>
      </c>
      <c r="AE147" s="260"/>
      <c r="AF147" s="261"/>
      <c r="AG147" s="262"/>
    </row>
    <row r="148" spans="2:33" ht="18.75" thickBot="1" x14ac:dyDescent="0.3">
      <c r="B148" s="110" t="s">
        <v>552</v>
      </c>
      <c r="C148" s="111" t="s">
        <v>786</v>
      </c>
      <c r="D148" s="112" t="s">
        <v>554</v>
      </c>
      <c r="E148" s="113" t="s">
        <v>555</v>
      </c>
      <c r="F148" s="116">
        <v>760</v>
      </c>
      <c r="G148" s="131">
        <v>3</v>
      </c>
      <c r="H148" s="114">
        <v>35000</v>
      </c>
      <c r="I148" s="129">
        <f t="shared" si="34"/>
        <v>26600000</v>
      </c>
      <c r="J148" s="343">
        <f>+K148-'Jerarq. Riesgos Plazo'!$K$77*'Aplicación proyecto JE'!K148</f>
        <v>2.7</v>
      </c>
      <c r="K148" s="131">
        <v>3</v>
      </c>
      <c r="L148" s="202">
        <f>+K148*('Jerarq. Riesgos Plazo'!$L$77+1)</f>
        <v>4.7492026391385318</v>
      </c>
      <c r="M148" s="65">
        <f>+N148*(-'Jerarq. Riesgos Costos'!$J$77+1)</f>
        <v>23940000</v>
      </c>
      <c r="N148" s="291">
        <f>+I148</f>
        <v>26600000</v>
      </c>
      <c r="O148" s="53">
        <f>+N148*('Jerarq. Riesgos Costos'!$K$77+1)</f>
        <v>33216501.128237523</v>
      </c>
      <c r="P148" s="65">
        <f>+Q148-Q148*'Jerarq. Riesgos Plazo'!$Q$77</f>
        <v>2.7</v>
      </c>
      <c r="Q148" s="291">
        <f t="shared" si="36"/>
        <v>3</v>
      </c>
      <c r="R148" s="369">
        <f>+Q148+Q148*'Jerarq. Riesgos Plazo'!$R$77</f>
        <v>4.2107567285060146</v>
      </c>
      <c r="S148" s="38">
        <f>+T148*(-'Jerarq. Riesgos Costos'!$P$78+1)</f>
        <v>23940000</v>
      </c>
      <c r="T148" s="203">
        <f t="shared" si="30"/>
        <v>26600000</v>
      </c>
      <c r="U148" s="34">
        <f>+T148*('Jerarq. Riesgos Costos'!$Q$78+1)</f>
        <v>33648004.512950093</v>
      </c>
    </row>
    <row r="149" spans="2:33" ht="21" thickBot="1" x14ac:dyDescent="0.35">
      <c r="B149" s="117"/>
      <c r="C149" s="118"/>
      <c r="D149" s="119" t="s">
        <v>556</v>
      </c>
      <c r="E149" s="120"/>
      <c r="F149" s="121"/>
      <c r="G149" s="122"/>
      <c r="H149" s="122"/>
      <c r="I149" s="123">
        <f>SUM(I26:I148)</f>
        <v>977039589.8799808</v>
      </c>
    </row>
    <row r="150" spans="2:33" ht="21" thickBot="1" x14ac:dyDescent="0.35">
      <c r="B150" s="117"/>
      <c r="C150" s="118"/>
      <c r="D150" s="124" t="s">
        <v>557</v>
      </c>
      <c r="E150" s="125"/>
      <c r="F150" s="125"/>
      <c r="G150" s="125"/>
      <c r="H150" s="125"/>
      <c r="I150" s="126">
        <f>+'[1]Estimación GG'!$H$79</f>
        <v>229050251.80111274</v>
      </c>
    </row>
    <row r="151" spans="2:33" ht="21" thickBot="1" x14ac:dyDescent="0.35">
      <c r="B151" s="117"/>
      <c r="C151" s="118"/>
      <c r="D151" s="124" t="s">
        <v>558</v>
      </c>
      <c r="E151" s="125"/>
      <c r="F151" s="125"/>
      <c r="G151" s="125"/>
      <c r="H151" s="125"/>
      <c r="I151" s="126">
        <f>+I150+I149</f>
        <v>1206089841.6810935</v>
      </c>
    </row>
    <row r="158" spans="2:33" x14ac:dyDescent="0.25">
      <c r="D158" t="s">
        <v>671</v>
      </c>
    </row>
  </sheetData>
  <mergeCells count="12">
    <mergeCell ref="J3:L3"/>
    <mergeCell ref="M3:O3"/>
    <mergeCell ref="J2:O2"/>
    <mergeCell ref="P2:U2"/>
    <mergeCell ref="P3:R3"/>
    <mergeCell ref="S3:U3"/>
    <mergeCell ref="V2:AA2"/>
    <mergeCell ref="AB2:AG2"/>
    <mergeCell ref="V3:X3"/>
    <mergeCell ref="Y3:AA3"/>
    <mergeCell ref="AB3:AD3"/>
    <mergeCell ref="AE3:AG3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G158"/>
  <sheetViews>
    <sheetView view="pageLayout" topLeftCell="AH20" zoomScaleNormal="55" workbookViewId="0">
      <selection activeCell="AQ36" sqref="AQ36"/>
    </sheetView>
  </sheetViews>
  <sheetFormatPr baseColWidth="10" defaultRowHeight="15" x14ac:dyDescent="0.25"/>
  <cols>
    <col min="2" max="2" width="20" customWidth="1"/>
    <col min="3" max="3" width="8.140625" customWidth="1"/>
    <col min="4" max="4" width="84.140625" customWidth="1"/>
    <col min="5" max="5" width="11.42578125" customWidth="1"/>
    <col min="6" max="6" width="15.42578125" hidden="1" customWidth="1"/>
    <col min="7" max="7" width="19.42578125" customWidth="1"/>
    <col min="8" max="8" width="20.140625" hidden="1" customWidth="1"/>
    <col min="9" max="9" width="23.85546875" customWidth="1"/>
    <col min="10" max="11" width="11.42578125" customWidth="1"/>
    <col min="12" max="12" width="13" customWidth="1"/>
    <col min="13" max="14" width="22" bestFit="1" customWidth="1"/>
    <col min="15" max="15" width="21.140625" bestFit="1" customWidth="1"/>
    <col min="16" max="18" width="11.42578125" customWidth="1"/>
    <col min="19" max="21" width="22" bestFit="1" customWidth="1"/>
    <col min="22" max="24" width="0" hidden="1" customWidth="1"/>
    <col min="25" max="25" width="15.7109375" hidden="1" customWidth="1"/>
    <col min="26" max="26" width="16" hidden="1" customWidth="1"/>
    <col min="27" max="27" width="17.5703125" hidden="1" customWidth="1"/>
    <col min="28" max="30" width="0" hidden="1" customWidth="1"/>
    <col min="31" max="31" width="15.7109375" hidden="1" customWidth="1"/>
    <col min="32" max="32" width="16" hidden="1" customWidth="1"/>
    <col min="33" max="33" width="17.5703125" hidden="1" customWidth="1"/>
  </cols>
  <sheetData>
    <row r="1" spans="2:33" ht="15.75" thickBot="1" x14ac:dyDescent="0.3"/>
    <row r="2" spans="2:33" ht="18.75" thickBot="1" x14ac:dyDescent="0.3">
      <c r="J2" s="444" t="s">
        <v>651</v>
      </c>
      <c r="K2" s="445"/>
      <c r="L2" s="445"/>
      <c r="M2" s="445"/>
      <c r="N2" s="445"/>
      <c r="O2" s="450"/>
      <c r="P2" s="445" t="s">
        <v>652</v>
      </c>
      <c r="Q2" s="445"/>
      <c r="R2" s="445"/>
      <c r="S2" s="445"/>
      <c r="T2" s="445"/>
      <c r="U2" s="445"/>
      <c r="V2" s="444" t="s">
        <v>653</v>
      </c>
      <c r="W2" s="445"/>
      <c r="X2" s="445"/>
      <c r="Y2" s="445"/>
      <c r="Z2" s="445"/>
      <c r="AA2" s="445"/>
      <c r="AB2" s="444" t="s">
        <v>654</v>
      </c>
      <c r="AC2" s="445"/>
      <c r="AD2" s="445"/>
      <c r="AE2" s="445"/>
      <c r="AF2" s="445"/>
      <c r="AG2" s="445"/>
    </row>
    <row r="3" spans="2:33" ht="18.75" thickBot="1" x14ac:dyDescent="0.3">
      <c r="J3" s="446" t="s">
        <v>332</v>
      </c>
      <c r="K3" s="447"/>
      <c r="L3" s="448"/>
      <c r="M3" s="446" t="s">
        <v>333</v>
      </c>
      <c r="N3" s="447"/>
      <c r="O3" s="449"/>
      <c r="P3" s="446" t="s">
        <v>332</v>
      </c>
      <c r="Q3" s="447"/>
      <c r="R3" s="449"/>
      <c r="S3" s="451" t="s">
        <v>333</v>
      </c>
      <c r="T3" s="447"/>
      <c r="U3" s="449"/>
      <c r="V3" s="446" t="s">
        <v>332</v>
      </c>
      <c r="W3" s="447"/>
      <c r="X3" s="448"/>
      <c r="Y3" s="446" t="s">
        <v>333</v>
      </c>
      <c r="Z3" s="447"/>
      <c r="AA3" s="449"/>
      <c r="AB3" s="446" t="s">
        <v>332</v>
      </c>
      <c r="AC3" s="447"/>
      <c r="AD3" s="448"/>
      <c r="AE3" s="446" t="s">
        <v>333</v>
      </c>
      <c r="AF3" s="447"/>
      <c r="AG3" s="449"/>
    </row>
    <row r="4" spans="2:33" ht="28.5" customHeight="1" thickBot="1" x14ac:dyDescent="0.3">
      <c r="B4" s="101" t="s">
        <v>398</v>
      </c>
      <c r="C4" s="101" t="s">
        <v>399</v>
      </c>
      <c r="D4" s="102" t="s">
        <v>400</v>
      </c>
      <c r="E4" s="101" t="s">
        <v>401</v>
      </c>
      <c r="F4" s="103" t="s">
        <v>402</v>
      </c>
      <c r="G4" s="104" t="s">
        <v>614</v>
      </c>
      <c r="H4" s="104" t="s">
        <v>403</v>
      </c>
      <c r="I4" s="127" t="s">
        <v>832</v>
      </c>
      <c r="J4" s="136" t="s">
        <v>668</v>
      </c>
      <c r="K4" s="137" t="s">
        <v>669</v>
      </c>
      <c r="L4" s="200" t="s">
        <v>670</v>
      </c>
      <c r="M4" s="136" t="s">
        <v>559</v>
      </c>
      <c r="N4" s="137" t="s">
        <v>560</v>
      </c>
      <c r="O4" s="138" t="s">
        <v>561</v>
      </c>
      <c r="P4" s="136" t="s">
        <v>668</v>
      </c>
      <c r="Q4" s="137" t="s">
        <v>669</v>
      </c>
      <c r="R4" s="297" t="s">
        <v>670</v>
      </c>
      <c r="S4" s="292" t="s">
        <v>559</v>
      </c>
      <c r="T4" s="137" t="s">
        <v>560</v>
      </c>
      <c r="U4" s="138" t="s">
        <v>561</v>
      </c>
      <c r="V4" s="136" t="s">
        <v>668</v>
      </c>
      <c r="W4" s="137" t="s">
        <v>669</v>
      </c>
      <c r="X4" s="200" t="s">
        <v>670</v>
      </c>
      <c r="Y4" s="136" t="s">
        <v>559</v>
      </c>
      <c r="Z4" s="137" t="s">
        <v>560</v>
      </c>
      <c r="AA4" s="138" t="s">
        <v>561</v>
      </c>
      <c r="AB4" s="136" t="s">
        <v>668</v>
      </c>
      <c r="AC4" s="137" t="s">
        <v>669</v>
      </c>
      <c r="AD4" s="200" t="s">
        <v>670</v>
      </c>
      <c r="AE4" s="136" t="s">
        <v>559</v>
      </c>
      <c r="AF4" s="137" t="s">
        <v>560</v>
      </c>
      <c r="AG4" s="138" t="s">
        <v>561</v>
      </c>
    </row>
    <row r="5" spans="2:33" ht="18" x14ac:dyDescent="0.25">
      <c r="B5" s="105" t="s">
        <v>404</v>
      </c>
      <c r="C5" s="105">
        <v>1</v>
      </c>
      <c r="D5" s="106" t="s">
        <v>611</v>
      </c>
      <c r="E5" s="107"/>
      <c r="F5" s="108"/>
      <c r="G5" s="109"/>
      <c r="H5" s="109"/>
      <c r="I5" s="128"/>
      <c r="J5" s="133"/>
      <c r="K5" s="134"/>
      <c r="L5" s="201"/>
      <c r="M5" s="133"/>
      <c r="N5" s="134"/>
      <c r="O5" s="135"/>
      <c r="P5" s="133"/>
      <c r="Q5" s="134"/>
      <c r="R5" s="135"/>
      <c r="S5" s="293"/>
      <c r="T5" s="134"/>
      <c r="U5" s="135"/>
      <c r="V5" s="133"/>
      <c r="W5" s="134"/>
      <c r="X5" s="201"/>
      <c r="Y5" s="133"/>
      <c r="Z5" s="134"/>
      <c r="AA5" s="135"/>
      <c r="AB5" s="133"/>
      <c r="AC5" s="134"/>
      <c r="AD5" s="201"/>
      <c r="AE5" s="133"/>
      <c r="AF5" s="134"/>
      <c r="AG5" s="135"/>
    </row>
    <row r="6" spans="2:33" ht="18" x14ac:dyDescent="0.25">
      <c r="B6" s="110" t="s">
        <v>406</v>
      </c>
      <c r="C6" s="111" t="s">
        <v>407</v>
      </c>
      <c r="D6" s="112" t="s">
        <v>574</v>
      </c>
      <c r="E6" s="113" t="s">
        <v>411</v>
      </c>
      <c r="F6" s="112">
        <v>1</v>
      </c>
      <c r="G6" s="114">
        <v>10</v>
      </c>
      <c r="H6" s="114">
        <f>2*'Costo HH'!$D$8*G6</f>
        <v>1072000</v>
      </c>
      <c r="I6" s="129">
        <f>+F6*H6</f>
        <v>1072000</v>
      </c>
      <c r="J6" s="343">
        <f>+K6-'Jerarq. Riesgos Plazo'!$K$74*'Aplicación proyecto BD'!K6</f>
        <v>8.5</v>
      </c>
      <c r="K6" s="203">
        <f>+G6</f>
        <v>10</v>
      </c>
      <c r="L6" s="202">
        <f>+K6*('Jerarq. Riesgos Plazo'!$L$74+1)</f>
        <v>10.778831696605094</v>
      </c>
      <c r="M6" s="64">
        <f>+N6*(-'Jerarq. Riesgos Costos'!$J$78+1)</f>
        <v>964800</v>
      </c>
      <c r="N6" s="203">
        <f>+I6</f>
        <v>1072000</v>
      </c>
      <c r="O6" s="49">
        <f>+N6*('Jerarq. Riesgos Costos'!$K$78+1)</f>
        <v>1338649.9702808505</v>
      </c>
      <c r="P6" s="29"/>
      <c r="Q6" s="203"/>
      <c r="R6" s="264"/>
      <c r="S6" s="38"/>
      <c r="T6" s="203"/>
      <c r="U6" s="34"/>
      <c r="V6" s="59">
        <v>8</v>
      </c>
      <c r="W6" s="203">
        <f>+S6</f>
        <v>0</v>
      </c>
      <c r="X6" s="202">
        <f>+W6*('Jerarq. Riesgos Plazo'!$M$65/100+1)</f>
        <v>0</v>
      </c>
      <c r="Y6" s="203">
        <v>2000000</v>
      </c>
      <c r="Z6" s="203">
        <f>+U6</f>
        <v>0</v>
      </c>
      <c r="AA6" s="49">
        <f>+Z6*('Jerarq. Riesgos Plazo'!$M$3/100+1)</f>
        <v>0</v>
      </c>
      <c r="AB6" s="29">
        <v>8</v>
      </c>
      <c r="AC6" s="203">
        <f>+Y6</f>
        <v>2000000</v>
      </c>
      <c r="AD6" s="202">
        <f>+AC6*('Jerarq. Riesgos Plazo'!$M$65/100+1)</f>
        <v>2002390.7379964413</v>
      </c>
      <c r="AE6" s="203">
        <v>2000000</v>
      </c>
      <c r="AF6" s="203">
        <f>+AA6</f>
        <v>0</v>
      </c>
      <c r="AG6" s="49">
        <f>+AF6*('Jerarq. Riesgos Plazo'!$M$3/100+1)</f>
        <v>0</v>
      </c>
    </row>
    <row r="7" spans="2:33" ht="18" x14ac:dyDescent="0.25">
      <c r="B7" s="110" t="s">
        <v>406</v>
      </c>
      <c r="C7" s="111" t="s">
        <v>617</v>
      </c>
      <c r="D7" s="112" t="s">
        <v>615</v>
      </c>
      <c r="E7" s="113" t="s">
        <v>411</v>
      </c>
      <c r="F7" s="112">
        <v>1</v>
      </c>
      <c r="G7" s="114">
        <v>15</v>
      </c>
      <c r="H7" s="114">
        <f>2*'Costo HH'!$D$8*G7</f>
        <v>1608000</v>
      </c>
      <c r="I7" s="129">
        <f t="shared" ref="I7:I9" si="0">+F7*H7</f>
        <v>1608000</v>
      </c>
      <c r="J7" s="343">
        <f>+K7-'Jerarq. Riesgos Plazo'!$K$74*'Aplicación proyecto BD'!K7</f>
        <v>12.75</v>
      </c>
      <c r="K7" s="203">
        <f t="shared" ref="K7:K17" si="1">+G7</f>
        <v>15</v>
      </c>
      <c r="L7" s="202">
        <f>+K7*('Jerarq. Riesgos Plazo'!$L$74+1)</f>
        <v>16.16824754490764</v>
      </c>
      <c r="M7" s="64">
        <f>+N7*(-'Jerarq. Riesgos Costos'!$J$78+1)</f>
        <v>1447200</v>
      </c>
      <c r="N7" s="203">
        <f t="shared" ref="N7:N22" si="2">+I7</f>
        <v>1608000</v>
      </c>
      <c r="O7" s="49">
        <f>+N7*('Jerarq. Riesgos Costos'!$K$78+1)</f>
        <v>2007974.9554212759</v>
      </c>
      <c r="P7" s="29"/>
      <c r="Q7" s="203"/>
      <c r="R7" s="264"/>
      <c r="S7" s="38"/>
      <c r="T7" s="203"/>
      <c r="U7" s="34"/>
      <c r="V7" s="59">
        <v>10</v>
      </c>
      <c r="W7" s="203">
        <f t="shared" ref="W7:W9" si="3">+S7</f>
        <v>0</v>
      </c>
      <c r="X7" s="202">
        <f>+W7*('Jerarq. Riesgos Plazo'!$M$65/100+1)</f>
        <v>0</v>
      </c>
      <c r="Y7" s="64">
        <v>80000000</v>
      </c>
      <c r="Z7" s="34">
        <f>+U7</f>
        <v>0</v>
      </c>
      <c r="AA7" s="49">
        <v>100000000</v>
      </c>
      <c r="AB7" s="29">
        <v>10</v>
      </c>
      <c r="AC7" s="203">
        <f t="shared" ref="AC7:AC9" si="4">+Y7</f>
        <v>80000000</v>
      </c>
      <c r="AD7" s="202">
        <f>+AC7*('Jerarq. Riesgos Plazo'!$M$65/100+1)</f>
        <v>80095629.51985766</v>
      </c>
      <c r="AE7" s="64">
        <v>80000000</v>
      </c>
      <c r="AF7" s="34">
        <f>+AA7</f>
        <v>100000000</v>
      </c>
      <c r="AG7" s="49">
        <v>100000000</v>
      </c>
    </row>
    <row r="8" spans="2:33" ht="18" x14ac:dyDescent="0.25">
      <c r="B8" s="110" t="s">
        <v>406</v>
      </c>
      <c r="C8" s="111" t="s">
        <v>618</v>
      </c>
      <c r="D8" s="112" t="s">
        <v>627</v>
      </c>
      <c r="E8" s="113" t="s">
        <v>411</v>
      </c>
      <c r="F8" s="112">
        <v>1</v>
      </c>
      <c r="G8" s="114">
        <v>20</v>
      </c>
      <c r="H8" s="114">
        <f>2*'Costo HH'!$D$8*G8</f>
        <v>2144000</v>
      </c>
      <c r="I8" s="129">
        <f t="shared" si="0"/>
        <v>2144000</v>
      </c>
      <c r="J8" s="343">
        <f>+K8-'Jerarq. Riesgos Plazo'!$K$74*'Aplicación proyecto BD'!K8</f>
        <v>17</v>
      </c>
      <c r="K8" s="203">
        <f t="shared" si="1"/>
        <v>20</v>
      </c>
      <c r="L8" s="202">
        <f>+K8*('Jerarq. Riesgos Plazo'!$L$74+1)</f>
        <v>21.557663393210188</v>
      </c>
      <c r="M8" s="64">
        <f>+N8*(-'Jerarq. Riesgos Costos'!$J$78+1)</f>
        <v>1929600</v>
      </c>
      <c r="N8" s="203">
        <f t="shared" si="2"/>
        <v>2144000</v>
      </c>
      <c r="O8" s="49">
        <f>+N8*('Jerarq. Riesgos Costos'!$K$78+1)</f>
        <v>2677299.9405617011</v>
      </c>
      <c r="P8" s="245"/>
      <c r="Q8" s="203"/>
      <c r="R8" s="264"/>
      <c r="S8" s="38"/>
      <c r="T8" s="203"/>
      <c r="U8" s="34"/>
      <c r="V8" s="288">
        <v>15</v>
      </c>
      <c r="W8" s="203">
        <f t="shared" si="3"/>
        <v>0</v>
      </c>
      <c r="X8" s="202">
        <f>+W8*('Jerarq. Riesgos Plazo'!$M$65/100+1)</f>
        <v>0</v>
      </c>
      <c r="Y8" s="63"/>
      <c r="Z8" s="43"/>
      <c r="AA8" s="246"/>
      <c r="AB8" s="245">
        <v>15</v>
      </c>
      <c r="AC8" s="203">
        <f t="shared" si="4"/>
        <v>0</v>
      </c>
      <c r="AD8" s="202">
        <f>+AC8*('Jerarq. Riesgos Plazo'!$M$65/100+1)</f>
        <v>0</v>
      </c>
      <c r="AE8" s="63"/>
      <c r="AF8" s="43"/>
      <c r="AG8" s="246"/>
    </row>
    <row r="9" spans="2:33" ht="18" x14ac:dyDescent="0.25">
      <c r="B9" s="110" t="s">
        <v>406</v>
      </c>
      <c r="C9" s="111" t="s">
        <v>619</v>
      </c>
      <c r="D9" s="112" t="s">
        <v>616</v>
      </c>
      <c r="E9" s="113" t="s">
        <v>411</v>
      </c>
      <c r="F9" s="112">
        <v>1</v>
      </c>
      <c r="G9" s="114">
        <v>15</v>
      </c>
      <c r="H9" s="114">
        <f>2*'Costo HH'!$D$8*G9</f>
        <v>1608000</v>
      </c>
      <c r="I9" s="129">
        <f t="shared" si="0"/>
        <v>1608000</v>
      </c>
      <c r="J9" s="343">
        <f>+K9-'Jerarq. Riesgos Plazo'!$K$74*'Aplicación proyecto BD'!K9</f>
        <v>12.75</v>
      </c>
      <c r="K9" s="203">
        <f t="shared" si="1"/>
        <v>15</v>
      </c>
      <c r="L9" s="202">
        <f>+K9*('Jerarq. Riesgos Plazo'!$L$74+1)</f>
        <v>16.16824754490764</v>
      </c>
      <c r="M9" s="64">
        <f>+N9*(-'Jerarq. Riesgos Costos'!$J$78+1)</f>
        <v>1447200</v>
      </c>
      <c r="N9" s="203">
        <f t="shared" si="2"/>
        <v>1608000</v>
      </c>
      <c r="O9" s="49">
        <f>+N9*('Jerarq. Riesgos Costos'!$K$78+1)</f>
        <v>2007974.9554212759</v>
      </c>
      <c r="P9" s="245"/>
      <c r="Q9" s="203"/>
      <c r="R9" s="264"/>
      <c r="S9" s="38"/>
      <c r="T9" s="203"/>
      <c r="U9" s="34"/>
      <c r="V9" s="288">
        <v>10</v>
      </c>
      <c r="W9" s="203">
        <f t="shared" si="3"/>
        <v>0</v>
      </c>
      <c r="X9" s="202">
        <f>+W9*('Jerarq. Riesgos Plazo'!$M$65/100+1)</f>
        <v>0</v>
      </c>
      <c r="Y9" s="63"/>
      <c r="Z9" s="43"/>
      <c r="AA9" s="246"/>
      <c r="AB9" s="245">
        <v>10</v>
      </c>
      <c r="AC9" s="203">
        <f t="shared" si="4"/>
        <v>0</v>
      </c>
      <c r="AD9" s="202">
        <f>+AC9*('Jerarq. Riesgos Plazo'!$M$65/100+1)</f>
        <v>0</v>
      </c>
      <c r="AE9" s="63"/>
      <c r="AF9" s="43"/>
      <c r="AG9" s="246"/>
    </row>
    <row r="10" spans="2:33" ht="18" x14ac:dyDescent="0.25">
      <c r="B10" s="105" t="s">
        <v>404</v>
      </c>
      <c r="C10" s="105">
        <v>2</v>
      </c>
      <c r="D10" s="106" t="s">
        <v>612</v>
      </c>
      <c r="E10" s="107"/>
      <c r="F10" s="108"/>
      <c r="G10" s="109"/>
      <c r="H10" s="109"/>
      <c r="I10" s="128"/>
      <c r="J10" s="133"/>
      <c r="K10" s="134"/>
      <c r="L10" s="201"/>
      <c r="M10" s="133"/>
      <c r="N10" s="134"/>
      <c r="O10" s="135"/>
      <c r="P10" s="133"/>
      <c r="Q10" s="134"/>
      <c r="R10" s="135"/>
      <c r="S10" s="293"/>
      <c r="T10" s="134"/>
      <c r="U10" s="135"/>
      <c r="V10" s="133"/>
      <c r="W10" s="134"/>
      <c r="X10" s="201"/>
      <c r="Y10" s="133"/>
      <c r="Z10" s="134"/>
      <c r="AA10" s="135"/>
      <c r="AB10" s="133"/>
      <c r="AC10" s="134"/>
      <c r="AD10" s="201"/>
      <c r="AE10" s="133"/>
      <c r="AF10" s="134"/>
      <c r="AG10" s="135"/>
    </row>
    <row r="11" spans="2:33" ht="18" x14ac:dyDescent="0.25">
      <c r="B11" s="110" t="s">
        <v>406</v>
      </c>
      <c r="C11" s="111" t="s">
        <v>414</v>
      </c>
      <c r="D11" s="112" t="s">
        <v>621</v>
      </c>
      <c r="E11" s="113" t="s">
        <v>628</v>
      </c>
      <c r="F11" s="250">
        <f>5*9*G11</f>
        <v>225</v>
      </c>
      <c r="G11" s="114">
        <v>5</v>
      </c>
      <c r="H11" s="114">
        <f>+'Costo HH'!$D$9</f>
        <v>53600</v>
      </c>
      <c r="I11" s="129">
        <f>+F11*H11</f>
        <v>12060000</v>
      </c>
      <c r="J11" s="343">
        <f>+K11-'Jerarq. Riesgos Plazo'!$K$75*'Aplicación proyecto BD'!K11</f>
        <v>4.5</v>
      </c>
      <c r="K11" s="203">
        <f t="shared" si="1"/>
        <v>5</v>
      </c>
      <c r="L11" s="202">
        <f>+K11*('Jerarq. Riesgos Plazo'!$L$75+1)</f>
        <v>6.1930310053249285</v>
      </c>
      <c r="M11" s="64">
        <f>+N11*(-'Jerarq. Riesgos Costos'!$J$78+1)</f>
        <v>10854000</v>
      </c>
      <c r="N11" s="203">
        <f t="shared" si="2"/>
        <v>12060000</v>
      </c>
      <c r="O11" s="49">
        <f>+N11*('Jerarq. Riesgos Costos'!$K$78+1)</f>
        <v>15059812.165659569</v>
      </c>
      <c r="P11" s="29"/>
      <c r="Q11" s="203"/>
      <c r="R11" s="264"/>
      <c r="S11" s="38"/>
      <c r="T11" s="203"/>
      <c r="U11" s="34"/>
      <c r="V11" s="59">
        <v>4</v>
      </c>
      <c r="W11" s="203">
        <f t="shared" ref="W11:W17" si="5">+S11</f>
        <v>0</v>
      </c>
      <c r="X11" s="202">
        <f>+W11*('Jerarq. Riesgos Plazo'!$M$65/100+1)</f>
        <v>0</v>
      </c>
      <c r="Y11" s="29"/>
      <c r="Z11" s="4"/>
      <c r="AA11" s="30"/>
      <c r="AB11" s="29">
        <v>4</v>
      </c>
      <c r="AC11" s="203">
        <f t="shared" ref="AC11:AC17" si="6">+Y11</f>
        <v>0</v>
      </c>
      <c r="AD11" s="202">
        <f>+AC11*('Jerarq. Riesgos Plazo'!$M$65/100+1)</f>
        <v>0</v>
      </c>
      <c r="AE11" s="29"/>
      <c r="AF11" s="4"/>
      <c r="AG11" s="30"/>
    </row>
    <row r="12" spans="2:33" ht="18" x14ac:dyDescent="0.25">
      <c r="B12" s="110" t="s">
        <v>406</v>
      </c>
      <c r="C12" s="111" t="s">
        <v>417</v>
      </c>
      <c r="D12" s="112" t="s">
        <v>620</v>
      </c>
      <c r="E12" s="113" t="s">
        <v>628</v>
      </c>
      <c r="F12" s="250">
        <f t="shared" ref="F12:F17" si="7">5*9*G12</f>
        <v>180</v>
      </c>
      <c r="G12" s="114">
        <v>4</v>
      </c>
      <c r="H12" s="114">
        <f>+'Costo HH'!$D$9</f>
        <v>53600</v>
      </c>
      <c r="I12" s="129">
        <f>+F12*H12</f>
        <v>9648000</v>
      </c>
      <c r="J12" s="343">
        <f>+K12-'Jerarq. Riesgos Plazo'!$K$75*'Aplicación proyecto BD'!K12</f>
        <v>3.6</v>
      </c>
      <c r="K12" s="203">
        <f t="shared" si="1"/>
        <v>4</v>
      </c>
      <c r="L12" s="202">
        <f>+K12*('Jerarq. Riesgos Plazo'!$L$75+1)</f>
        <v>4.9544248042599426</v>
      </c>
      <c r="M12" s="64">
        <f>+N12*(-'Jerarq. Riesgos Costos'!$J$78+1)</f>
        <v>8683200</v>
      </c>
      <c r="N12" s="203">
        <f t="shared" si="2"/>
        <v>9648000</v>
      </c>
      <c r="O12" s="49">
        <f>+N12*('Jerarq. Riesgos Costos'!$K$78+1)</f>
        <v>12047849.732527655</v>
      </c>
      <c r="P12" s="29"/>
      <c r="Q12" s="203"/>
      <c r="R12" s="264"/>
      <c r="S12" s="38"/>
      <c r="T12" s="203"/>
      <c r="U12" s="34"/>
      <c r="V12" s="59">
        <v>3</v>
      </c>
      <c r="W12" s="203">
        <f t="shared" si="5"/>
        <v>0</v>
      </c>
      <c r="X12" s="202">
        <f>+W12*('Jerarq. Riesgos Plazo'!$M$65/100+1)</f>
        <v>0</v>
      </c>
      <c r="Y12" s="64"/>
      <c r="Z12" s="34"/>
      <c r="AA12" s="49"/>
      <c r="AB12" s="29">
        <v>3</v>
      </c>
      <c r="AC12" s="203">
        <f t="shared" si="6"/>
        <v>0</v>
      </c>
      <c r="AD12" s="202">
        <f>+AC12*('Jerarq. Riesgos Plazo'!$M$65/100+1)</f>
        <v>0</v>
      </c>
      <c r="AE12" s="64"/>
      <c r="AF12" s="34"/>
      <c r="AG12" s="49"/>
    </row>
    <row r="13" spans="2:33" ht="18" x14ac:dyDescent="0.25">
      <c r="B13" s="110" t="s">
        <v>406</v>
      </c>
      <c r="C13" s="111" t="s">
        <v>419</v>
      </c>
      <c r="D13" s="112" t="s">
        <v>626</v>
      </c>
      <c r="E13" s="113" t="s">
        <v>628</v>
      </c>
      <c r="F13" s="250">
        <f t="shared" si="7"/>
        <v>315</v>
      </c>
      <c r="G13" s="114">
        <v>7</v>
      </c>
      <c r="H13" s="114">
        <f>+'Costo HH'!$D$9</f>
        <v>53600</v>
      </c>
      <c r="I13" s="129">
        <f t="shared" ref="I13:I17" si="8">+F13*H13</f>
        <v>16884000</v>
      </c>
      <c r="J13" s="343">
        <f>+K13-'Jerarq. Riesgos Plazo'!$K$75*'Aplicación proyecto BD'!K13</f>
        <v>6.3</v>
      </c>
      <c r="K13" s="203">
        <f t="shared" si="1"/>
        <v>7</v>
      </c>
      <c r="L13" s="202">
        <f>+K13*('Jerarq. Riesgos Plazo'!$L$75+1)</f>
        <v>8.6702434074548993</v>
      </c>
      <c r="M13" s="64">
        <f>+N13*(-'Jerarq. Riesgos Costos'!$J$78+1)</f>
        <v>15195600</v>
      </c>
      <c r="N13" s="203">
        <f t="shared" si="2"/>
        <v>16884000</v>
      </c>
      <c r="O13" s="49">
        <f>+N13*('Jerarq. Riesgos Costos'!$K$78+1)</f>
        <v>21083737.031923395</v>
      </c>
      <c r="P13" s="245"/>
      <c r="Q13" s="203"/>
      <c r="R13" s="264"/>
      <c r="S13" s="38"/>
      <c r="T13" s="203"/>
      <c r="U13" s="34"/>
      <c r="V13" s="288">
        <v>5</v>
      </c>
      <c r="W13" s="203">
        <f t="shared" si="5"/>
        <v>0</v>
      </c>
      <c r="X13" s="202">
        <f>+W13*('Jerarq. Riesgos Plazo'!$M$65/100+1)</f>
        <v>0</v>
      </c>
      <c r="Y13" s="63"/>
      <c r="Z13" s="43"/>
      <c r="AA13" s="246"/>
      <c r="AB13" s="245">
        <v>5</v>
      </c>
      <c r="AC13" s="203">
        <f t="shared" si="6"/>
        <v>0</v>
      </c>
      <c r="AD13" s="202">
        <f>+AC13*('Jerarq. Riesgos Plazo'!$M$65/100+1)</f>
        <v>0</v>
      </c>
      <c r="AE13" s="63"/>
      <c r="AF13" s="43"/>
      <c r="AG13" s="246"/>
    </row>
    <row r="14" spans="2:33" ht="18" x14ac:dyDescent="0.25">
      <c r="B14" s="110" t="s">
        <v>406</v>
      </c>
      <c r="C14" s="111" t="s">
        <v>421</v>
      </c>
      <c r="D14" s="112" t="s">
        <v>622</v>
      </c>
      <c r="E14" s="113" t="s">
        <v>628</v>
      </c>
      <c r="F14" s="250">
        <f t="shared" si="7"/>
        <v>450</v>
      </c>
      <c r="G14" s="114">
        <v>10</v>
      </c>
      <c r="H14" s="114">
        <f>+'Costo HH'!$D$9</f>
        <v>53600</v>
      </c>
      <c r="I14" s="129">
        <f t="shared" si="8"/>
        <v>24120000</v>
      </c>
      <c r="J14" s="343">
        <f>+K14-'Jerarq. Riesgos Plazo'!$K$75*'Aplicación proyecto BD'!K14</f>
        <v>9</v>
      </c>
      <c r="K14" s="203">
        <f t="shared" si="1"/>
        <v>10</v>
      </c>
      <c r="L14" s="202">
        <f>+K14*('Jerarq. Riesgos Plazo'!$L$75+1)</f>
        <v>12.386062010649857</v>
      </c>
      <c r="M14" s="64">
        <f>+N14*(-'Jerarq. Riesgos Costos'!$J$78+1)</f>
        <v>21708000</v>
      </c>
      <c r="N14" s="203">
        <f t="shared" si="2"/>
        <v>24120000</v>
      </c>
      <c r="O14" s="49">
        <f>+N14*('Jerarq. Riesgos Costos'!$K$78+1)</f>
        <v>30119624.331319138</v>
      </c>
      <c r="P14" s="245"/>
      <c r="Q14" s="203"/>
      <c r="R14" s="264"/>
      <c r="S14" s="38"/>
      <c r="T14" s="203"/>
      <c r="U14" s="34"/>
      <c r="V14" s="288">
        <v>8</v>
      </c>
      <c r="W14" s="203">
        <f t="shared" si="5"/>
        <v>0</v>
      </c>
      <c r="X14" s="202">
        <f>+W14*('Jerarq. Riesgos Plazo'!$M$65/100+1)</f>
        <v>0</v>
      </c>
      <c r="Y14" s="63"/>
      <c r="Z14" s="43"/>
      <c r="AA14" s="246"/>
      <c r="AB14" s="245">
        <v>8</v>
      </c>
      <c r="AC14" s="203">
        <f t="shared" si="6"/>
        <v>0</v>
      </c>
      <c r="AD14" s="202">
        <f>+AC14*('Jerarq. Riesgos Plazo'!$M$65/100+1)</f>
        <v>0</v>
      </c>
      <c r="AE14" s="63"/>
      <c r="AF14" s="43"/>
      <c r="AG14" s="246"/>
    </row>
    <row r="15" spans="2:33" ht="18" x14ac:dyDescent="0.25">
      <c r="B15" s="110" t="s">
        <v>406</v>
      </c>
      <c r="C15" s="111" t="s">
        <v>423</v>
      </c>
      <c r="D15" s="112" t="s">
        <v>623</v>
      </c>
      <c r="E15" s="113" t="s">
        <v>628</v>
      </c>
      <c r="F15" s="250">
        <f t="shared" si="7"/>
        <v>675</v>
      </c>
      <c r="G15" s="114">
        <v>15</v>
      </c>
      <c r="H15" s="114">
        <f>+'Costo HH'!$D$9</f>
        <v>53600</v>
      </c>
      <c r="I15" s="129">
        <f t="shared" si="8"/>
        <v>36180000</v>
      </c>
      <c r="J15" s="343">
        <f>+K15-'Jerarq. Riesgos Plazo'!$K$75*'Aplicación proyecto BD'!K15</f>
        <v>13.5</v>
      </c>
      <c r="K15" s="203">
        <f t="shared" si="1"/>
        <v>15</v>
      </c>
      <c r="L15" s="202">
        <f>+K15*('Jerarq. Riesgos Plazo'!$L$75+1)</f>
        <v>18.579093015974784</v>
      </c>
      <c r="M15" s="64">
        <f>+N15*(-'Jerarq. Riesgos Costos'!$J$78+1)</f>
        <v>32562000</v>
      </c>
      <c r="N15" s="203">
        <f t="shared" si="2"/>
        <v>36180000</v>
      </c>
      <c r="O15" s="49">
        <f>+N15*('Jerarq. Riesgos Costos'!$K$78+1)</f>
        <v>45179436.496978708</v>
      </c>
      <c r="P15" s="245"/>
      <c r="Q15" s="203"/>
      <c r="R15" s="264"/>
      <c r="S15" s="38"/>
      <c r="T15" s="203"/>
      <c r="U15" s="34"/>
      <c r="V15" s="288">
        <v>12</v>
      </c>
      <c r="W15" s="203">
        <f t="shared" si="5"/>
        <v>0</v>
      </c>
      <c r="X15" s="202">
        <f>+W15*('Jerarq. Riesgos Plazo'!$M$65/100+1)</f>
        <v>0</v>
      </c>
      <c r="Y15" s="63"/>
      <c r="Z15" s="43"/>
      <c r="AA15" s="246"/>
      <c r="AB15" s="245">
        <v>12</v>
      </c>
      <c r="AC15" s="203">
        <f t="shared" si="6"/>
        <v>0</v>
      </c>
      <c r="AD15" s="202">
        <f>+AC15*('Jerarq. Riesgos Plazo'!$M$65/100+1)</f>
        <v>0</v>
      </c>
      <c r="AE15" s="63"/>
      <c r="AF15" s="43"/>
      <c r="AG15" s="246"/>
    </row>
    <row r="16" spans="2:33" ht="18" x14ac:dyDescent="0.25">
      <c r="B16" s="110" t="s">
        <v>406</v>
      </c>
      <c r="C16" s="111" t="s">
        <v>425</v>
      </c>
      <c r="D16" s="112" t="s">
        <v>624</v>
      </c>
      <c r="E16" s="113" t="s">
        <v>628</v>
      </c>
      <c r="F16" s="250">
        <f t="shared" si="7"/>
        <v>360</v>
      </c>
      <c r="G16" s="114">
        <v>8</v>
      </c>
      <c r="H16" s="114">
        <f>+'Costo HH'!$D$9</f>
        <v>53600</v>
      </c>
      <c r="I16" s="129">
        <f t="shared" si="8"/>
        <v>19296000</v>
      </c>
      <c r="J16" s="343">
        <f>+K16-'Jerarq. Riesgos Plazo'!$K$75*'Aplicación proyecto BD'!K16</f>
        <v>7.2</v>
      </c>
      <c r="K16" s="203">
        <f t="shared" si="1"/>
        <v>8</v>
      </c>
      <c r="L16" s="202">
        <f>+K16*('Jerarq. Riesgos Plazo'!$L$75+1)</f>
        <v>9.9088496085198852</v>
      </c>
      <c r="M16" s="64">
        <f>+N16*(-'Jerarq. Riesgos Costos'!$J$78+1)</f>
        <v>17366400</v>
      </c>
      <c r="N16" s="203">
        <f t="shared" si="2"/>
        <v>19296000</v>
      </c>
      <c r="O16" s="49">
        <f>+N16*('Jerarq. Riesgos Costos'!$K$78+1)</f>
        <v>24095699.465055309</v>
      </c>
      <c r="P16" s="245"/>
      <c r="Q16" s="203"/>
      <c r="R16" s="264"/>
      <c r="S16" s="38"/>
      <c r="T16" s="203"/>
      <c r="U16" s="34"/>
      <c r="V16" s="288">
        <v>6</v>
      </c>
      <c r="W16" s="203">
        <f t="shared" si="5"/>
        <v>0</v>
      </c>
      <c r="X16" s="202">
        <f>+W16*('Jerarq. Riesgos Plazo'!$M$65/100+1)</f>
        <v>0</v>
      </c>
      <c r="Y16" s="63"/>
      <c r="Z16" s="43"/>
      <c r="AA16" s="246"/>
      <c r="AB16" s="245">
        <v>6</v>
      </c>
      <c r="AC16" s="203">
        <f t="shared" si="6"/>
        <v>0</v>
      </c>
      <c r="AD16" s="202">
        <f>+AC16*('Jerarq. Riesgos Plazo'!$M$65/100+1)</f>
        <v>0</v>
      </c>
      <c r="AE16" s="63"/>
      <c r="AF16" s="43"/>
      <c r="AG16" s="246"/>
    </row>
    <row r="17" spans="2:33" ht="17.25" customHeight="1" x14ac:dyDescent="0.25">
      <c r="B17" s="110" t="s">
        <v>406</v>
      </c>
      <c r="C17" s="111" t="s">
        <v>427</v>
      </c>
      <c r="D17" s="112" t="s">
        <v>625</v>
      </c>
      <c r="E17" s="113" t="s">
        <v>628</v>
      </c>
      <c r="F17" s="250">
        <f t="shared" si="7"/>
        <v>675</v>
      </c>
      <c r="G17" s="114">
        <v>15</v>
      </c>
      <c r="H17" s="114">
        <f>+'Costo HH'!$D$9</f>
        <v>53600</v>
      </c>
      <c r="I17" s="129">
        <f t="shared" si="8"/>
        <v>36180000</v>
      </c>
      <c r="J17" s="343">
        <f>+K17-'Jerarq. Riesgos Plazo'!$K$75*'Aplicación proyecto BD'!K17</f>
        <v>13.5</v>
      </c>
      <c r="K17" s="203">
        <f t="shared" si="1"/>
        <v>15</v>
      </c>
      <c r="L17" s="202">
        <f>+K17*('Jerarq. Riesgos Plazo'!$L$75+1)</f>
        <v>18.579093015974784</v>
      </c>
      <c r="M17" s="64">
        <f>+N17*(-'Jerarq. Riesgos Costos'!$J$78+1)</f>
        <v>32562000</v>
      </c>
      <c r="N17" s="203">
        <f t="shared" si="2"/>
        <v>36180000</v>
      </c>
      <c r="O17" s="49">
        <f>+N17*('Jerarq. Riesgos Costos'!$K$78+1)</f>
        <v>45179436.496978708</v>
      </c>
      <c r="P17" s="245"/>
      <c r="Q17" s="203"/>
      <c r="R17" s="264"/>
      <c r="S17" s="38"/>
      <c r="T17" s="203"/>
      <c r="U17" s="34"/>
      <c r="V17" s="288">
        <v>10</v>
      </c>
      <c r="W17" s="203">
        <f t="shared" si="5"/>
        <v>0</v>
      </c>
      <c r="X17" s="202">
        <f>+W17*('Jerarq. Riesgos Plazo'!$M$65/100+1)</f>
        <v>0</v>
      </c>
      <c r="Y17" s="63"/>
      <c r="Z17" s="43"/>
      <c r="AA17" s="246"/>
      <c r="AB17" s="245">
        <v>10</v>
      </c>
      <c r="AC17" s="203">
        <f t="shared" si="6"/>
        <v>0</v>
      </c>
      <c r="AD17" s="202">
        <f>+AC17*('Jerarq. Riesgos Plazo'!$M$65/100+1)</f>
        <v>0</v>
      </c>
      <c r="AE17" s="63"/>
      <c r="AF17" s="43"/>
      <c r="AG17" s="246"/>
    </row>
    <row r="18" spans="2:33" ht="18" x14ac:dyDescent="0.25">
      <c r="B18" s="105" t="s">
        <v>404</v>
      </c>
      <c r="C18" s="105">
        <v>3</v>
      </c>
      <c r="D18" s="106" t="s">
        <v>613</v>
      </c>
      <c r="E18" s="107"/>
      <c r="F18" s="108"/>
      <c r="G18" s="109"/>
      <c r="H18" s="109"/>
      <c r="I18" s="128"/>
      <c r="J18" s="133"/>
      <c r="K18" s="134"/>
      <c r="L18" s="201"/>
      <c r="M18" s="133"/>
      <c r="N18" s="134"/>
      <c r="O18" s="135"/>
      <c r="P18" s="133"/>
      <c r="Q18" s="134"/>
      <c r="R18" s="135"/>
      <c r="S18" s="293"/>
      <c r="T18" s="134"/>
      <c r="U18" s="135"/>
      <c r="V18" s="133"/>
      <c r="W18" s="134"/>
      <c r="X18" s="201"/>
      <c r="Y18" s="133"/>
      <c r="Z18" s="134"/>
      <c r="AA18" s="135"/>
      <c r="AB18" s="133"/>
      <c r="AC18" s="134"/>
      <c r="AD18" s="201"/>
      <c r="AE18" s="133"/>
      <c r="AF18" s="134"/>
      <c r="AG18" s="135"/>
    </row>
    <row r="19" spans="2:33" ht="18" x14ac:dyDescent="0.25">
      <c r="B19" s="110" t="s">
        <v>406</v>
      </c>
      <c r="C19" s="111" t="s">
        <v>436</v>
      </c>
      <c r="D19" s="112" t="s">
        <v>574</v>
      </c>
      <c r="E19" s="113" t="s">
        <v>411</v>
      </c>
      <c r="F19" s="112">
        <v>1</v>
      </c>
      <c r="G19" s="114">
        <v>15</v>
      </c>
      <c r="H19" s="114">
        <f>2*'Costo HH'!$D$8*G19</f>
        <v>1608000</v>
      </c>
      <c r="I19" s="129">
        <f>+F19*H19</f>
        <v>1608000</v>
      </c>
      <c r="J19" s="343">
        <f>+K19-'Jerarq. Riesgos Plazo'!$K$76*'Aplicación proyecto BD'!K19</f>
        <v>12.75</v>
      </c>
      <c r="K19" s="203">
        <f>+G19</f>
        <v>15</v>
      </c>
      <c r="L19" s="202">
        <f>+K19*('Jerarq. Riesgos Plazo'!$L$76+1)</f>
        <v>16.506646243424917</v>
      </c>
      <c r="M19" s="64">
        <f>+N19*(-'Jerarq. Riesgos Costos'!$J$78+1)</f>
        <v>1447200</v>
      </c>
      <c r="N19" s="203">
        <f t="shared" si="2"/>
        <v>1608000</v>
      </c>
      <c r="O19" s="49">
        <f>+N19*('Jerarq. Riesgos Costos'!$K$78+1)</f>
        <v>2007974.9554212759</v>
      </c>
      <c r="P19" s="29"/>
      <c r="Q19" s="203"/>
      <c r="R19" s="264"/>
      <c r="S19" s="38"/>
      <c r="T19" s="203"/>
      <c r="U19" s="34"/>
      <c r="V19" s="59">
        <v>13</v>
      </c>
      <c r="W19" s="203">
        <f>+S19</f>
        <v>0</v>
      </c>
      <c r="X19" s="202">
        <f>+W19*('Jerarq. Riesgos Plazo'!$M$65/100+1)</f>
        <v>0</v>
      </c>
      <c r="Y19" s="203">
        <v>2000000</v>
      </c>
      <c r="Z19" s="203">
        <f>+U19</f>
        <v>0</v>
      </c>
      <c r="AA19" s="49">
        <f>+Z19*('Jerarq. Riesgos Plazo'!$M$3/100+1)</f>
        <v>0</v>
      </c>
      <c r="AB19" s="29">
        <v>13</v>
      </c>
      <c r="AC19" s="203">
        <f>+Y19</f>
        <v>2000000</v>
      </c>
      <c r="AD19" s="202">
        <f>+AC19*('Jerarq. Riesgos Plazo'!$M$65/100+1)</f>
        <v>2002390.7379964413</v>
      </c>
      <c r="AE19" s="203">
        <v>2000000</v>
      </c>
      <c r="AF19" s="203">
        <f>+AA19</f>
        <v>0</v>
      </c>
      <c r="AG19" s="49">
        <f>+AF19*('Jerarq. Riesgos Plazo'!$M$3/100+1)</f>
        <v>0</v>
      </c>
    </row>
    <row r="20" spans="2:33" ht="18" x14ac:dyDescent="0.25">
      <c r="B20" s="110" t="s">
        <v>406</v>
      </c>
      <c r="C20" s="111" t="s">
        <v>437</v>
      </c>
      <c r="D20" s="112" t="s">
        <v>615</v>
      </c>
      <c r="E20" s="113" t="s">
        <v>411</v>
      </c>
      <c r="F20" s="112">
        <v>1</v>
      </c>
      <c r="G20" s="114">
        <v>25</v>
      </c>
      <c r="H20" s="114">
        <f>2*'Costo HH'!$D$8*G20</f>
        <v>2680000</v>
      </c>
      <c r="I20" s="129">
        <f t="shared" ref="I20:I22" si="9">+F20*H20</f>
        <v>2680000</v>
      </c>
      <c r="J20" s="343">
        <f>+K20-'Jerarq. Riesgos Plazo'!$K$76*'Aplicación proyecto BD'!K20</f>
        <v>21.25</v>
      </c>
      <c r="K20" s="203">
        <f t="shared" ref="K20:K22" si="10">+G20</f>
        <v>25</v>
      </c>
      <c r="L20" s="202">
        <f>+K20*('Jerarq. Riesgos Plazo'!$L$76+1)</f>
        <v>27.511077072374864</v>
      </c>
      <c r="M20" s="64">
        <f>+N20*(-'Jerarq. Riesgos Costos'!$J$78+1)</f>
        <v>2412000</v>
      </c>
      <c r="N20" s="203">
        <f t="shared" si="2"/>
        <v>2680000</v>
      </c>
      <c r="O20" s="49">
        <f>+N20*('Jerarq. Riesgos Costos'!$K$78+1)</f>
        <v>3346624.9257021262</v>
      </c>
      <c r="P20" s="29"/>
      <c r="Q20" s="203"/>
      <c r="R20" s="264"/>
      <c r="S20" s="38"/>
      <c r="T20" s="203"/>
      <c r="U20" s="34"/>
      <c r="V20" s="59">
        <v>22</v>
      </c>
      <c r="W20" s="203">
        <f t="shared" ref="W20:W22" si="11">+S20</f>
        <v>0</v>
      </c>
      <c r="X20" s="202">
        <f>+W20*('Jerarq. Riesgos Plazo'!$M$65/100+1)</f>
        <v>0</v>
      </c>
      <c r="Y20" s="64">
        <v>80000000</v>
      </c>
      <c r="Z20" s="34">
        <f>+U20</f>
        <v>0</v>
      </c>
      <c r="AA20" s="49">
        <v>100000000</v>
      </c>
      <c r="AB20" s="29">
        <v>22</v>
      </c>
      <c r="AC20" s="203">
        <f t="shared" ref="AC20:AC22" si="12">+Y20</f>
        <v>80000000</v>
      </c>
      <c r="AD20" s="202">
        <f>+AC20*('Jerarq. Riesgos Plazo'!$M$65/100+1)</f>
        <v>80095629.51985766</v>
      </c>
      <c r="AE20" s="64">
        <v>80000000</v>
      </c>
      <c r="AF20" s="34">
        <f>+AA20</f>
        <v>100000000</v>
      </c>
      <c r="AG20" s="49">
        <v>100000000</v>
      </c>
    </row>
    <row r="21" spans="2:33" ht="18" x14ac:dyDescent="0.25">
      <c r="B21" s="110" t="s">
        <v>406</v>
      </c>
      <c r="C21" s="111" t="s">
        <v>439</v>
      </c>
      <c r="D21" s="112" t="s">
        <v>627</v>
      </c>
      <c r="E21" s="113" t="s">
        <v>411</v>
      </c>
      <c r="F21" s="112">
        <v>1</v>
      </c>
      <c r="G21" s="114">
        <v>12</v>
      </c>
      <c r="H21" s="114">
        <f>2*'Costo HH'!$D$8*G21</f>
        <v>1286400</v>
      </c>
      <c r="I21" s="129">
        <f t="shared" si="9"/>
        <v>1286400</v>
      </c>
      <c r="J21" s="343">
        <f>+K21-'Jerarq. Riesgos Plazo'!$K$76*'Aplicación proyecto BD'!K21</f>
        <v>10.199999999999999</v>
      </c>
      <c r="K21" s="203">
        <f t="shared" si="10"/>
        <v>12</v>
      </c>
      <c r="L21" s="202">
        <f>+K21*('Jerarq. Riesgos Plazo'!$L$76+1)</f>
        <v>13.205316994739935</v>
      </c>
      <c r="M21" s="64">
        <f>+N21*(-'Jerarq. Riesgos Costos'!$J$78+1)</f>
        <v>1157760</v>
      </c>
      <c r="N21" s="203">
        <f t="shared" si="2"/>
        <v>1286400</v>
      </c>
      <c r="O21" s="49">
        <f>+N21*('Jerarq. Riesgos Costos'!$K$78+1)</f>
        <v>1606379.9643370206</v>
      </c>
      <c r="P21" s="245"/>
      <c r="Q21" s="203"/>
      <c r="R21" s="264"/>
      <c r="S21" s="38"/>
      <c r="T21" s="203"/>
      <c r="U21" s="34"/>
      <c r="V21" s="288">
        <v>10</v>
      </c>
      <c r="W21" s="203">
        <f t="shared" si="11"/>
        <v>0</v>
      </c>
      <c r="X21" s="202">
        <f>+W21*('Jerarq. Riesgos Plazo'!$M$65/100+1)</f>
        <v>0</v>
      </c>
      <c r="Y21" s="63"/>
      <c r="Z21" s="43"/>
      <c r="AA21" s="246"/>
      <c r="AB21" s="245">
        <v>10</v>
      </c>
      <c r="AC21" s="203">
        <f t="shared" si="12"/>
        <v>0</v>
      </c>
      <c r="AD21" s="202">
        <f>+AC21*('Jerarq. Riesgos Plazo'!$M$65/100+1)</f>
        <v>0</v>
      </c>
      <c r="AE21" s="63"/>
      <c r="AF21" s="43"/>
      <c r="AG21" s="246"/>
    </row>
    <row r="22" spans="2:33" ht="18" x14ac:dyDescent="0.25">
      <c r="B22" s="110" t="s">
        <v>406</v>
      </c>
      <c r="C22" s="111" t="s">
        <v>441</v>
      </c>
      <c r="D22" s="112" t="s">
        <v>616</v>
      </c>
      <c r="E22" s="113" t="s">
        <v>411</v>
      </c>
      <c r="F22" s="112">
        <v>1</v>
      </c>
      <c r="G22" s="114">
        <v>20</v>
      </c>
      <c r="H22" s="114">
        <f>2*'Costo HH'!$D$8*G22</f>
        <v>2144000</v>
      </c>
      <c r="I22" s="129">
        <f t="shared" si="9"/>
        <v>2144000</v>
      </c>
      <c r="J22" s="343">
        <f>+K22-'Jerarq. Riesgos Plazo'!$K$76*'Aplicación proyecto BD'!K22</f>
        <v>17</v>
      </c>
      <c r="K22" s="203">
        <f t="shared" si="10"/>
        <v>20</v>
      </c>
      <c r="L22" s="202">
        <f>+K22*('Jerarq. Riesgos Plazo'!$L$76+1)</f>
        <v>22.008861657899889</v>
      </c>
      <c r="M22" s="64">
        <f>+N22*(-'Jerarq. Riesgos Costos'!$J$78+1)</f>
        <v>1929600</v>
      </c>
      <c r="N22" s="203">
        <f t="shared" si="2"/>
        <v>2144000</v>
      </c>
      <c r="O22" s="49">
        <f>+N22*('Jerarq. Riesgos Costos'!$K$78+1)</f>
        <v>2677299.9405617011</v>
      </c>
      <c r="P22" s="245"/>
      <c r="Q22" s="203"/>
      <c r="R22" s="264"/>
      <c r="S22" s="38"/>
      <c r="T22" s="203"/>
      <c r="U22" s="34"/>
      <c r="V22" s="288">
        <v>16</v>
      </c>
      <c r="W22" s="203">
        <f t="shared" si="11"/>
        <v>0</v>
      </c>
      <c r="X22" s="202">
        <f>+W22*('Jerarq. Riesgos Plazo'!$M$65/100+1)</f>
        <v>0</v>
      </c>
      <c r="Y22" s="63"/>
      <c r="Z22" s="43"/>
      <c r="AA22" s="246"/>
      <c r="AB22" s="245">
        <v>16</v>
      </c>
      <c r="AC22" s="203">
        <f t="shared" si="12"/>
        <v>0</v>
      </c>
      <c r="AD22" s="202">
        <f>+AC22*('Jerarq. Riesgos Plazo'!$M$65/100+1)</f>
        <v>0</v>
      </c>
      <c r="AE22" s="63"/>
      <c r="AF22" s="43"/>
      <c r="AG22" s="246"/>
    </row>
    <row r="23" spans="2:33" ht="18" x14ac:dyDescent="0.25">
      <c r="B23" s="105" t="s">
        <v>404</v>
      </c>
      <c r="C23" s="105">
        <v>4</v>
      </c>
      <c r="D23" s="106" t="s">
        <v>629</v>
      </c>
      <c r="E23" s="107"/>
      <c r="F23" s="108"/>
      <c r="G23" s="109"/>
      <c r="H23" s="109"/>
      <c r="I23" s="128"/>
      <c r="J23" s="133"/>
      <c r="K23" s="134"/>
      <c r="L23" s="201"/>
      <c r="M23" s="133"/>
      <c r="N23" s="134"/>
      <c r="O23" s="135"/>
      <c r="P23" s="133"/>
      <c r="Q23" s="134">
        <f t="shared" ref="Q23:Q86" si="13">+K23</f>
        <v>0</v>
      </c>
      <c r="R23" s="135"/>
      <c r="S23" s="293"/>
      <c r="T23" s="134"/>
      <c r="U23" s="135"/>
      <c r="V23" s="133"/>
      <c r="W23" s="134"/>
      <c r="X23" s="201"/>
      <c r="Y23" s="133"/>
      <c r="Z23" s="134"/>
      <c r="AA23" s="135"/>
      <c r="AB23" s="133"/>
      <c r="AC23" s="134"/>
      <c r="AD23" s="201"/>
      <c r="AE23" s="133"/>
      <c r="AF23" s="134"/>
      <c r="AG23" s="135"/>
    </row>
    <row r="24" spans="2:33" ht="18" x14ac:dyDescent="0.25">
      <c r="B24" s="251" t="s">
        <v>406</v>
      </c>
      <c r="C24" s="251" t="s">
        <v>451</v>
      </c>
      <c r="D24" s="252" t="s">
        <v>405</v>
      </c>
      <c r="E24" s="253"/>
      <c r="F24" s="254"/>
      <c r="G24" s="255">
        <f>+SUM(G25:G26)</f>
        <v>35</v>
      </c>
      <c r="H24" s="255"/>
      <c r="I24" s="256">
        <f>+I25+I26</f>
        <v>140000000</v>
      </c>
      <c r="J24" s="257">
        <f>+SUM(J25:J26)</f>
        <v>31.5</v>
      </c>
      <c r="K24" s="258">
        <f>+SUM(K25:K26)</f>
        <v>35</v>
      </c>
      <c r="L24" s="256">
        <f>+SUM(L25:L26)</f>
        <v>55.407364123282868</v>
      </c>
      <c r="M24" s="257">
        <f>+SUM(M25:M26)</f>
        <v>126000000</v>
      </c>
      <c r="N24" s="258">
        <f>+SUM(N25:N26)</f>
        <v>140000000</v>
      </c>
      <c r="O24" s="262">
        <f>+O25+O26</f>
        <v>174823690.14861855</v>
      </c>
      <c r="P24" s="257"/>
      <c r="Q24" s="258"/>
      <c r="R24" s="262"/>
      <c r="S24" s="367"/>
      <c r="T24" s="258"/>
      <c r="U24" s="262"/>
      <c r="V24" s="257">
        <v>30</v>
      </c>
      <c r="W24" s="258">
        <f>+SUM(W25:W26)</f>
        <v>35</v>
      </c>
      <c r="X24" s="256">
        <f>+W24*('Jerarq. Riesgos Plazo'!$M$65/100+1)</f>
        <v>35.041837914937723</v>
      </c>
      <c r="Y24" s="257"/>
      <c r="Z24" s="258"/>
      <c r="AA24" s="259"/>
      <c r="AB24" s="257">
        <v>30</v>
      </c>
      <c r="AC24" s="258">
        <f>+SUM(AC25:AC26)</f>
        <v>35</v>
      </c>
      <c r="AD24" s="256">
        <f>+AC24*('Jerarq. Riesgos Plazo'!$M$65/100+1)</f>
        <v>35.041837914937723</v>
      </c>
      <c r="AE24" s="257"/>
      <c r="AF24" s="258"/>
      <c r="AG24" s="259"/>
    </row>
    <row r="25" spans="2:33" ht="18" x14ac:dyDescent="0.25">
      <c r="B25" s="110" t="s">
        <v>406</v>
      </c>
      <c r="C25" s="111" t="s">
        <v>631</v>
      </c>
      <c r="D25" s="112" t="s">
        <v>410</v>
      </c>
      <c r="E25" s="113" t="s">
        <v>411</v>
      </c>
      <c r="F25" s="112">
        <v>1</v>
      </c>
      <c r="G25" s="265">
        <v>25</v>
      </c>
      <c r="H25" s="114">
        <v>50000000</v>
      </c>
      <c r="I25" s="129">
        <f>+F25*H25</f>
        <v>50000000</v>
      </c>
      <c r="J25" s="343">
        <f>+K25-'Jerarq. Riesgos Plazo'!$K$77*'Aplicación proyecto BD'!K25</f>
        <v>22.5</v>
      </c>
      <c r="K25" s="34">
        <f>+G25</f>
        <v>25</v>
      </c>
      <c r="L25" s="202">
        <f>+K25*('Jerarq. Riesgos Plazo'!$L$77+1)</f>
        <v>39.576688659487765</v>
      </c>
      <c r="M25" s="64">
        <f>+N25*(-'Jerarq. Riesgos Costos'!$J$78+1)</f>
        <v>45000000</v>
      </c>
      <c r="N25" s="34">
        <f>+I25</f>
        <v>50000000</v>
      </c>
      <c r="O25" s="49">
        <f>+N25*('Jerarq. Riesgos Costos'!$K$78+1)</f>
        <v>62437032.195935197</v>
      </c>
      <c r="P25" s="29"/>
      <c r="Q25" s="4"/>
      <c r="R25" s="264"/>
      <c r="S25" s="38"/>
      <c r="T25" s="203"/>
      <c r="U25" s="34"/>
      <c r="V25" s="29"/>
      <c r="W25" s="4">
        <v>25</v>
      </c>
      <c r="X25" s="202"/>
      <c r="Y25" s="64"/>
      <c r="Z25" s="34"/>
      <c r="AA25" s="49"/>
      <c r="AB25" s="29"/>
      <c r="AC25" s="4">
        <v>25</v>
      </c>
      <c r="AD25" s="202"/>
      <c r="AE25" s="64"/>
      <c r="AF25" s="34"/>
      <c r="AG25" s="49"/>
    </row>
    <row r="26" spans="2:33" ht="18" x14ac:dyDescent="0.25">
      <c r="B26" s="110" t="s">
        <v>406</v>
      </c>
      <c r="C26" s="111" t="s">
        <v>630</v>
      </c>
      <c r="D26" s="112" t="s">
        <v>408</v>
      </c>
      <c r="E26" s="113" t="s">
        <v>409</v>
      </c>
      <c r="F26" s="112">
        <v>3</v>
      </c>
      <c r="G26" s="265">
        <v>10</v>
      </c>
      <c r="H26" s="114">
        <v>30000000</v>
      </c>
      <c r="I26" s="129">
        <f>+F26*H26</f>
        <v>90000000</v>
      </c>
      <c r="J26" s="343">
        <f>+K26-'Jerarq. Riesgos Plazo'!$K$77*'Aplicación proyecto BD'!K26</f>
        <v>9</v>
      </c>
      <c r="K26" s="4">
        <f>+G26</f>
        <v>10</v>
      </c>
      <c r="L26" s="202">
        <f>+K26*('Jerarq. Riesgos Plazo'!$L$77+1)</f>
        <v>15.830675463795105</v>
      </c>
      <c r="M26" s="64">
        <f>+N26*(-'Jerarq. Riesgos Costos'!$J$78+1)</f>
        <v>81000000</v>
      </c>
      <c r="N26" s="203">
        <f>+I26</f>
        <v>90000000</v>
      </c>
      <c r="O26" s="49">
        <f>+N26*('Jerarq. Riesgos Costos'!$K$78+1)</f>
        <v>112386657.95268334</v>
      </c>
      <c r="P26" s="29"/>
      <c r="Q26" s="4"/>
      <c r="R26" s="264"/>
      <c r="S26" s="38"/>
      <c r="T26" s="203"/>
      <c r="U26" s="34"/>
      <c r="V26" s="29"/>
      <c r="W26" s="4">
        <v>10</v>
      </c>
      <c r="X26" s="202"/>
      <c r="Y26" s="29"/>
      <c r="Z26" s="4"/>
      <c r="AA26" s="30"/>
      <c r="AB26" s="29"/>
      <c r="AC26" s="4">
        <v>10</v>
      </c>
      <c r="AD26" s="202"/>
      <c r="AE26" s="29"/>
      <c r="AF26" s="4"/>
      <c r="AG26" s="30"/>
    </row>
    <row r="27" spans="2:33" ht="18" x14ac:dyDescent="0.25">
      <c r="B27" s="251" t="s">
        <v>413</v>
      </c>
      <c r="C27" s="251" t="s">
        <v>454</v>
      </c>
      <c r="D27" s="252" t="s">
        <v>412</v>
      </c>
      <c r="E27" s="253"/>
      <c r="F27" s="254"/>
      <c r="G27" s="261">
        <f>+SUM(G28:G38)</f>
        <v>23.2</v>
      </c>
      <c r="H27" s="255"/>
      <c r="I27" s="256">
        <f t="shared" ref="I27:O27" si="14">+SUM(I28:I38)</f>
        <v>86399280</v>
      </c>
      <c r="J27" s="257">
        <f t="shared" si="14"/>
        <v>20.880000000000003</v>
      </c>
      <c r="K27" s="261">
        <f t="shared" si="14"/>
        <v>23.2</v>
      </c>
      <c r="L27" s="256">
        <f t="shared" si="14"/>
        <v>36.72716707600464</v>
      </c>
      <c r="M27" s="260">
        <f t="shared" si="14"/>
        <v>69119424</v>
      </c>
      <c r="N27" s="261">
        <f t="shared" si="14"/>
        <v>86399280</v>
      </c>
      <c r="O27" s="262">
        <f t="shared" si="14"/>
        <v>119554195.34131239</v>
      </c>
      <c r="P27" s="260">
        <f t="shared" ref="P27:U27" si="15">+SUM(P28:P38)</f>
        <v>20.880000000000003</v>
      </c>
      <c r="Q27" s="261">
        <f t="shared" si="15"/>
        <v>23.2</v>
      </c>
      <c r="R27" s="262">
        <f t="shared" si="15"/>
        <v>32.563185367113178</v>
      </c>
      <c r="S27" s="368">
        <f t="shared" si="15"/>
        <v>69119424</v>
      </c>
      <c r="T27" s="261">
        <f t="shared" si="15"/>
        <v>86399280</v>
      </c>
      <c r="U27" s="262">
        <f t="shared" si="15"/>
        <v>114475812.56524956</v>
      </c>
      <c r="V27" s="260">
        <v>20</v>
      </c>
      <c r="W27" s="261">
        <f>+SUM(W28:W38)</f>
        <v>23.2</v>
      </c>
      <c r="X27" s="256">
        <f>+W27*('Jerarq. Riesgos Plazo'!$M$65/100+1)</f>
        <v>23.227732560758721</v>
      </c>
      <c r="Y27" s="260"/>
      <c r="Z27" s="261"/>
      <c r="AA27" s="262"/>
      <c r="AB27" s="260">
        <v>20</v>
      </c>
      <c r="AC27" s="261">
        <f>+SUM(AC28:AC38)</f>
        <v>23.2</v>
      </c>
      <c r="AD27" s="256">
        <f>+AC27*('Jerarq. Riesgos Plazo'!$M$65/100+1)</f>
        <v>23.227732560758721</v>
      </c>
      <c r="AE27" s="260"/>
      <c r="AF27" s="261"/>
      <c r="AG27" s="262"/>
    </row>
    <row r="28" spans="2:33" ht="18" x14ac:dyDescent="0.25">
      <c r="B28" s="110" t="s">
        <v>413</v>
      </c>
      <c r="C28" s="115" t="s">
        <v>632</v>
      </c>
      <c r="D28" s="112" t="s">
        <v>415</v>
      </c>
      <c r="E28" s="113" t="s">
        <v>416</v>
      </c>
      <c r="F28" s="113">
        <v>2</v>
      </c>
      <c r="G28" s="265">
        <v>1.2</v>
      </c>
      <c r="H28" s="114">
        <v>360000</v>
      </c>
      <c r="I28" s="129">
        <f t="shared" ref="I28:I91" si="16">+F28*H28</f>
        <v>720000</v>
      </c>
      <c r="J28" s="343">
        <f>+K28-'Jerarq. Riesgos Plazo'!$K$77*'Aplicación proyecto BD'!K28</f>
        <v>1.08</v>
      </c>
      <c r="K28" s="4">
        <v>1.2</v>
      </c>
      <c r="L28" s="202">
        <f>+K28*('Jerarq. Riesgos Plazo'!$L$77+1)</f>
        <v>1.8996810556554125</v>
      </c>
      <c r="M28" s="64">
        <f>+N28*(-'Jerarq. Riesgos Costos'!$J$74+1)</f>
        <v>576000</v>
      </c>
      <c r="N28" s="203">
        <f>+I28</f>
        <v>720000</v>
      </c>
      <c r="O28" s="49">
        <f>+N28*('Jerarq. Riesgos Costos'!$K$74+1)</f>
        <v>996293.26362146682</v>
      </c>
      <c r="P28" s="64">
        <f>+Q28-Q28*'Jerarq. Riesgos Plazo'!$Q$77</f>
        <v>1.08</v>
      </c>
      <c r="Q28" s="4">
        <f t="shared" si="13"/>
        <v>1.2</v>
      </c>
      <c r="R28" s="264">
        <f>+Q28+Q28*'Jerarq. Riesgos Plazo'!$R$77</f>
        <v>1.6843026914024057</v>
      </c>
      <c r="S28" s="38">
        <f>+T28*(-'Jerarq. Riesgos Costos'!$P$74+1)</f>
        <v>576000</v>
      </c>
      <c r="T28" s="203">
        <f t="shared" ref="T28:T91" si="17">+N28</f>
        <v>720000</v>
      </c>
      <c r="U28" s="34">
        <f>+T28*('Jerarq. Riesgos Costos'!$Q$74+1)</f>
        <v>953973.05448586703</v>
      </c>
      <c r="V28" s="29"/>
      <c r="W28" s="4">
        <v>1.2</v>
      </c>
      <c r="X28" s="256">
        <f>+W28*('Jerarq. Riesgos Plazo'!$M$65/100+1)</f>
        <v>1.2014344427978647</v>
      </c>
      <c r="Y28" s="29"/>
      <c r="Z28" s="4"/>
      <c r="AA28" s="30"/>
      <c r="AB28" s="29"/>
      <c r="AC28" s="4">
        <v>1.2</v>
      </c>
      <c r="AD28" s="256">
        <f>+AC28*('Jerarq. Riesgos Plazo'!$M$65/100+1)</f>
        <v>1.2014344427978647</v>
      </c>
      <c r="AE28" s="29"/>
      <c r="AF28" s="4"/>
      <c r="AG28" s="30"/>
    </row>
    <row r="29" spans="2:33" ht="18" x14ac:dyDescent="0.25">
      <c r="B29" s="110" t="s">
        <v>413</v>
      </c>
      <c r="C29" s="115" t="s">
        <v>633</v>
      </c>
      <c r="D29" s="112" t="s">
        <v>418</v>
      </c>
      <c r="E29" s="113" t="s">
        <v>416</v>
      </c>
      <c r="F29" s="113">
        <v>20</v>
      </c>
      <c r="G29" s="265">
        <v>1</v>
      </c>
      <c r="H29" s="114">
        <v>360000</v>
      </c>
      <c r="I29" s="129">
        <f t="shared" si="16"/>
        <v>7200000</v>
      </c>
      <c r="J29" s="343">
        <f>+K29-'Jerarq. Riesgos Plazo'!$K$77*'Aplicación proyecto BD'!K29</f>
        <v>0.9</v>
      </c>
      <c r="K29" s="4">
        <v>1</v>
      </c>
      <c r="L29" s="202">
        <f>+K29*('Jerarq. Riesgos Plazo'!$L$77+1)</f>
        <v>1.5830675463795105</v>
      </c>
      <c r="M29" s="64">
        <f>+N29*(-'Jerarq. Riesgos Costos'!$J$74+1)</f>
        <v>5760000</v>
      </c>
      <c r="N29" s="203">
        <f t="shared" ref="N29:N92" si="18">+I29</f>
        <v>7200000</v>
      </c>
      <c r="O29" s="49">
        <f>+N29*('Jerarq. Riesgos Costos'!$K$74+1)</f>
        <v>9962932.6362146679</v>
      </c>
      <c r="P29" s="64">
        <f>+Q29-Q29*'Jerarq. Riesgos Plazo'!$Q$77</f>
        <v>0.9</v>
      </c>
      <c r="Q29" s="4">
        <f t="shared" si="13"/>
        <v>1</v>
      </c>
      <c r="R29" s="264">
        <f>+Q29+Q29*'Jerarq. Riesgos Plazo'!$R$77</f>
        <v>1.4035855761686715</v>
      </c>
      <c r="S29" s="38">
        <f>+T29*(-'Jerarq. Riesgos Costos'!$P$74+1)</f>
        <v>5760000</v>
      </c>
      <c r="T29" s="203">
        <f t="shared" si="17"/>
        <v>7200000</v>
      </c>
      <c r="U29" s="34">
        <f>+T29*('Jerarq. Riesgos Costos'!$Q$74+1)</f>
        <v>9539730.5448586699</v>
      </c>
      <c r="V29" s="29"/>
      <c r="W29" s="4">
        <v>1</v>
      </c>
      <c r="X29" s="256">
        <f>+W29*('Jerarq. Riesgos Plazo'!$M$65/100+1)</f>
        <v>1.0011953689982207</v>
      </c>
      <c r="Y29" s="29"/>
      <c r="Z29" s="4"/>
      <c r="AA29" s="30"/>
      <c r="AB29" s="29"/>
      <c r="AC29" s="4">
        <v>1</v>
      </c>
      <c r="AD29" s="256">
        <f>+AC29*('Jerarq. Riesgos Plazo'!$M$65/100+1)</f>
        <v>1.0011953689982207</v>
      </c>
      <c r="AE29" s="29"/>
      <c r="AF29" s="4"/>
      <c r="AG29" s="30"/>
    </row>
    <row r="30" spans="2:33" ht="18" x14ac:dyDescent="0.25">
      <c r="B30" s="110" t="s">
        <v>413</v>
      </c>
      <c r="C30" s="115" t="s">
        <v>634</v>
      </c>
      <c r="D30" s="112" t="s">
        <v>420</v>
      </c>
      <c r="E30" s="113" t="s">
        <v>416</v>
      </c>
      <c r="F30" s="113">
        <v>1</v>
      </c>
      <c r="G30" s="265">
        <v>1</v>
      </c>
      <c r="H30" s="114">
        <v>360000</v>
      </c>
      <c r="I30" s="129">
        <f t="shared" si="16"/>
        <v>360000</v>
      </c>
      <c r="J30" s="343">
        <f>+K30-'Jerarq. Riesgos Plazo'!$K$77*'Aplicación proyecto BD'!K30</f>
        <v>0.9</v>
      </c>
      <c r="K30" s="4">
        <v>1</v>
      </c>
      <c r="L30" s="202">
        <f>+K30*('Jerarq. Riesgos Plazo'!$L$77+1)</f>
        <v>1.5830675463795105</v>
      </c>
      <c r="M30" s="64">
        <f>+N30*(-'Jerarq. Riesgos Costos'!$J$74+1)</f>
        <v>288000</v>
      </c>
      <c r="N30" s="203">
        <f t="shared" si="18"/>
        <v>360000</v>
      </c>
      <c r="O30" s="49">
        <f>+N30*('Jerarq. Riesgos Costos'!$K$74+1)</f>
        <v>498146.63181073341</v>
      </c>
      <c r="P30" s="64">
        <f>+Q30-Q30*'Jerarq. Riesgos Plazo'!$Q$77</f>
        <v>0.9</v>
      </c>
      <c r="Q30" s="4">
        <f t="shared" si="13"/>
        <v>1</v>
      </c>
      <c r="R30" s="264">
        <f>+Q30+Q30*'Jerarq. Riesgos Plazo'!$R$77</f>
        <v>1.4035855761686715</v>
      </c>
      <c r="S30" s="38">
        <f>+T30*(-'Jerarq. Riesgos Costos'!$P$74+1)</f>
        <v>288000</v>
      </c>
      <c r="T30" s="203">
        <f t="shared" si="17"/>
        <v>360000</v>
      </c>
      <c r="U30" s="34">
        <f>+T30*('Jerarq. Riesgos Costos'!$Q$74+1)</f>
        <v>476986.52724293352</v>
      </c>
      <c r="V30" s="29"/>
      <c r="W30" s="4">
        <v>1</v>
      </c>
      <c r="X30" s="256">
        <f>+W30*('Jerarq. Riesgos Plazo'!$M$65/100+1)</f>
        <v>1.0011953689982207</v>
      </c>
      <c r="Y30" s="29"/>
      <c r="Z30" s="4"/>
      <c r="AA30" s="30"/>
      <c r="AB30" s="29"/>
      <c r="AC30" s="4">
        <v>1</v>
      </c>
      <c r="AD30" s="256">
        <f>+AC30*('Jerarq. Riesgos Plazo'!$M$65/100+1)</f>
        <v>1.0011953689982207</v>
      </c>
      <c r="AE30" s="29"/>
      <c r="AF30" s="4"/>
      <c r="AG30" s="30"/>
    </row>
    <row r="31" spans="2:33" ht="18" x14ac:dyDescent="0.25">
      <c r="B31" s="110" t="s">
        <v>413</v>
      </c>
      <c r="C31" s="115" t="s">
        <v>635</v>
      </c>
      <c r="D31" s="112" t="s">
        <v>422</v>
      </c>
      <c r="E31" s="113" t="s">
        <v>416</v>
      </c>
      <c r="F31" s="113">
        <v>23</v>
      </c>
      <c r="G31" s="265">
        <v>2</v>
      </c>
      <c r="H31" s="114">
        <v>26085</v>
      </c>
      <c r="I31" s="129">
        <f t="shared" si="16"/>
        <v>599955</v>
      </c>
      <c r="J31" s="343">
        <f>+K31-'Jerarq. Riesgos Plazo'!$K$77*'Aplicación proyecto BD'!K31</f>
        <v>1.8</v>
      </c>
      <c r="K31" s="4">
        <v>2</v>
      </c>
      <c r="L31" s="202">
        <f>+K31*('Jerarq. Riesgos Plazo'!$L$77+1)</f>
        <v>3.1661350927590211</v>
      </c>
      <c r="M31" s="64">
        <f>+N31*(-'Jerarq. Riesgos Costos'!$J$74+1)</f>
        <v>479964</v>
      </c>
      <c r="N31" s="203">
        <f t="shared" si="18"/>
        <v>599955</v>
      </c>
      <c r="O31" s="49">
        <f>+N31*('Jerarq. Riesgos Costos'!$K$74+1)</f>
        <v>830182.11802224594</v>
      </c>
      <c r="P31" s="64">
        <f>+Q31-Q31*'Jerarq. Riesgos Plazo'!$Q$77</f>
        <v>1.8</v>
      </c>
      <c r="Q31" s="4">
        <f t="shared" si="13"/>
        <v>2</v>
      </c>
      <c r="R31" s="264">
        <f>+Q31+Q31*'Jerarq. Riesgos Plazo'!$R$77</f>
        <v>2.807171152337343</v>
      </c>
      <c r="S31" s="38">
        <f>+T31*(-'Jerarq. Riesgos Costos'!$P$74+1)</f>
        <v>479964</v>
      </c>
      <c r="T31" s="203">
        <f t="shared" si="17"/>
        <v>599955</v>
      </c>
      <c r="U31" s="34">
        <f>+T31*('Jerarq. Riesgos Costos'!$Q$74+1)</f>
        <v>794917.92208898382</v>
      </c>
      <c r="V31" s="29"/>
      <c r="W31" s="4">
        <v>2</v>
      </c>
      <c r="X31" s="256">
        <f>+W31*('Jerarq. Riesgos Plazo'!$M$65/100+1)</f>
        <v>2.0023907379964414</v>
      </c>
      <c r="Y31" s="29"/>
      <c r="Z31" s="4"/>
      <c r="AA31" s="30"/>
      <c r="AB31" s="29"/>
      <c r="AC31" s="4">
        <v>2</v>
      </c>
      <c r="AD31" s="256">
        <f>+AC31*('Jerarq. Riesgos Plazo'!$M$65/100+1)</f>
        <v>2.0023907379964414</v>
      </c>
      <c r="AE31" s="29"/>
      <c r="AF31" s="4"/>
      <c r="AG31" s="30"/>
    </row>
    <row r="32" spans="2:33" ht="18" x14ac:dyDescent="0.25">
      <c r="B32" s="110" t="s">
        <v>413</v>
      </c>
      <c r="C32" s="115" t="s">
        <v>636</v>
      </c>
      <c r="D32" s="112" t="s">
        <v>424</v>
      </c>
      <c r="E32" s="113" t="s">
        <v>416</v>
      </c>
      <c r="F32" s="113">
        <v>157</v>
      </c>
      <c r="G32" s="265">
        <v>3</v>
      </c>
      <c r="H32" s="114">
        <v>25000</v>
      </c>
      <c r="I32" s="129">
        <f t="shared" si="16"/>
        <v>3925000</v>
      </c>
      <c r="J32" s="343">
        <f>+K32-'Jerarq. Riesgos Plazo'!$K$77*'Aplicación proyecto BD'!K32</f>
        <v>2.7</v>
      </c>
      <c r="K32" s="4">
        <v>3</v>
      </c>
      <c r="L32" s="202">
        <f>+K32*('Jerarq. Riesgos Plazo'!$L$77+1)</f>
        <v>4.7492026391385318</v>
      </c>
      <c r="M32" s="64">
        <f>+N32*(-'Jerarq. Riesgos Costos'!$J$74+1)</f>
        <v>3140000</v>
      </c>
      <c r="N32" s="203">
        <f t="shared" si="18"/>
        <v>3925000</v>
      </c>
      <c r="O32" s="49">
        <f>+N32*('Jerarq. Riesgos Costos'!$K$74+1)</f>
        <v>5431182.0273809126</v>
      </c>
      <c r="P32" s="64">
        <f>+Q32-Q32*'Jerarq. Riesgos Plazo'!$Q$77</f>
        <v>2.7</v>
      </c>
      <c r="Q32" s="4">
        <f t="shared" si="13"/>
        <v>3</v>
      </c>
      <c r="R32" s="264">
        <f>+Q32+Q32*'Jerarq. Riesgos Plazo'!$R$77</f>
        <v>4.2107567285060146</v>
      </c>
      <c r="S32" s="38">
        <f>+T32*(-'Jerarq. Riesgos Costos'!$P$74+1)</f>
        <v>3140000</v>
      </c>
      <c r="T32" s="203">
        <f t="shared" si="17"/>
        <v>3925000</v>
      </c>
      <c r="U32" s="34">
        <f>+T32*('Jerarq. Riesgos Costos'!$Q$74+1)</f>
        <v>5200478.1095236503</v>
      </c>
      <c r="V32" s="29"/>
      <c r="W32" s="4">
        <v>3</v>
      </c>
      <c r="X32" s="256">
        <f>+W32*('Jerarq. Riesgos Plazo'!$M$65/100+1)</f>
        <v>3.0035861069946623</v>
      </c>
      <c r="Y32" s="29"/>
      <c r="Z32" s="4"/>
      <c r="AA32" s="30"/>
      <c r="AB32" s="29"/>
      <c r="AC32" s="4">
        <v>3</v>
      </c>
      <c r="AD32" s="256">
        <f>+AC32*('Jerarq. Riesgos Plazo'!$M$65/100+1)</f>
        <v>3.0035861069946623</v>
      </c>
      <c r="AE32" s="29"/>
      <c r="AF32" s="4"/>
      <c r="AG32" s="30"/>
    </row>
    <row r="33" spans="2:33" ht="18" x14ac:dyDescent="0.25">
      <c r="B33" s="110" t="s">
        <v>413</v>
      </c>
      <c r="C33" s="115" t="s">
        <v>637</v>
      </c>
      <c r="D33" s="112" t="s">
        <v>426</v>
      </c>
      <c r="E33" s="113" t="s">
        <v>416</v>
      </c>
      <c r="F33" s="113">
        <v>30</v>
      </c>
      <c r="G33" s="265">
        <v>3</v>
      </c>
      <c r="H33" s="114">
        <v>17000</v>
      </c>
      <c r="I33" s="129">
        <f t="shared" si="16"/>
        <v>510000</v>
      </c>
      <c r="J33" s="343">
        <f>+K33-'Jerarq. Riesgos Plazo'!$K$77*'Aplicación proyecto BD'!K33</f>
        <v>2.7</v>
      </c>
      <c r="K33" s="4">
        <v>3</v>
      </c>
      <c r="L33" s="202">
        <f>+K33*('Jerarq. Riesgos Plazo'!$L$77+1)</f>
        <v>4.7492026391385318</v>
      </c>
      <c r="M33" s="64">
        <f>+N33*(-'Jerarq. Riesgos Costos'!$J$74+1)</f>
        <v>408000</v>
      </c>
      <c r="N33" s="203">
        <f t="shared" si="18"/>
        <v>510000</v>
      </c>
      <c r="O33" s="49">
        <f>+N33*('Jerarq. Riesgos Costos'!$K$74+1)</f>
        <v>705707.72839853901</v>
      </c>
      <c r="P33" s="64">
        <f>+Q33-Q33*'Jerarq. Riesgos Plazo'!$Q$77</f>
        <v>2.7</v>
      </c>
      <c r="Q33" s="4">
        <f t="shared" si="13"/>
        <v>3</v>
      </c>
      <c r="R33" s="264">
        <f>+Q33+Q33*'Jerarq. Riesgos Plazo'!$R$77</f>
        <v>4.2107567285060146</v>
      </c>
      <c r="S33" s="38">
        <f>+T33*(-'Jerarq. Riesgos Costos'!$P$74+1)</f>
        <v>408000</v>
      </c>
      <c r="T33" s="203">
        <f t="shared" si="17"/>
        <v>510000</v>
      </c>
      <c r="U33" s="34">
        <f>+T33*('Jerarq. Riesgos Costos'!$Q$74+1)</f>
        <v>675730.91359415581</v>
      </c>
      <c r="V33" s="29"/>
      <c r="W33" s="4">
        <v>3</v>
      </c>
      <c r="X33" s="256">
        <f>+W33*('Jerarq. Riesgos Plazo'!$M$65/100+1)</f>
        <v>3.0035861069946623</v>
      </c>
      <c r="Y33" s="29"/>
      <c r="Z33" s="4"/>
      <c r="AA33" s="30"/>
      <c r="AB33" s="29"/>
      <c r="AC33" s="4">
        <v>3</v>
      </c>
      <c r="AD33" s="256">
        <f>+AC33*('Jerarq. Riesgos Plazo'!$M$65/100+1)</f>
        <v>3.0035861069946623</v>
      </c>
      <c r="AE33" s="29"/>
      <c r="AF33" s="4"/>
      <c r="AG33" s="30"/>
    </row>
    <row r="34" spans="2:33" ht="18" x14ac:dyDescent="0.25">
      <c r="B34" s="110" t="s">
        <v>413</v>
      </c>
      <c r="C34" s="115" t="s">
        <v>638</v>
      </c>
      <c r="D34" s="112" t="s">
        <v>428</v>
      </c>
      <c r="E34" s="113" t="s">
        <v>429</v>
      </c>
      <c r="F34" s="113">
        <v>6000</v>
      </c>
      <c r="G34" s="265">
        <v>2</v>
      </c>
      <c r="H34" s="114">
        <v>3100</v>
      </c>
      <c r="I34" s="129">
        <f t="shared" si="16"/>
        <v>18600000</v>
      </c>
      <c r="J34" s="343">
        <f>+K34-'Jerarq. Riesgos Plazo'!$K$77*'Aplicación proyecto BD'!K34</f>
        <v>1.8</v>
      </c>
      <c r="K34" s="4">
        <v>2</v>
      </c>
      <c r="L34" s="202">
        <f>+K34*('Jerarq. Riesgos Plazo'!$L$77+1)</f>
        <v>3.1661350927590211</v>
      </c>
      <c r="M34" s="64">
        <f>+N34*(-'Jerarq. Riesgos Costos'!$J$74+1)</f>
        <v>14880000</v>
      </c>
      <c r="N34" s="203">
        <f t="shared" si="18"/>
        <v>18600000</v>
      </c>
      <c r="O34" s="49">
        <f>+N34*('Jerarq. Riesgos Costos'!$K$74+1)</f>
        <v>25737575.976887893</v>
      </c>
      <c r="P34" s="64">
        <f>+Q34-Q34*'Jerarq. Riesgos Plazo'!$Q$77</f>
        <v>1.8</v>
      </c>
      <c r="Q34" s="4">
        <f t="shared" si="13"/>
        <v>2</v>
      </c>
      <c r="R34" s="264">
        <f>+Q34+Q34*'Jerarq. Riesgos Plazo'!$R$77</f>
        <v>2.807171152337343</v>
      </c>
      <c r="S34" s="38">
        <f>+T34*(-'Jerarq. Riesgos Costos'!$P$74+1)</f>
        <v>14880000</v>
      </c>
      <c r="T34" s="203">
        <f t="shared" si="17"/>
        <v>18600000</v>
      </c>
      <c r="U34" s="34">
        <f>+T34*('Jerarq. Riesgos Costos'!$Q$74+1)</f>
        <v>24644303.907551564</v>
      </c>
      <c r="V34" s="29"/>
      <c r="W34" s="4">
        <v>2</v>
      </c>
      <c r="X34" s="256">
        <f>+W34*('Jerarq. Riesgos Plazo'!$M$65/100+1)</f>
        <v>2.0023907379964414</v>
      </c>
      <c r="Y34" s="29"/>
      <c r="Z34" s="4"/>
      <c r="AA34" s="30"/>
      <c r="AB34" s="29"/>
      <c r="AC34" s="4">
        <v>2</v>
      </c>
      <c r="AD34" s="256">
        <f>+AC34*('Jerarq. Riesgos Plazo'!$M$65/100+1)</f>
        <v>2.0023907379964414</v>
      </c>
      <c r="AE34" s="29"/>
      <c r="AF34" s="4"/>
      <c r="AG34" s="30"/>
    </row>
    <row r="35" spans="2:33" ht="18" x14ac:dyDescent="0.25">
      <c r="B35" s="110" t="s">
        <v>413</v>
      </c>
      <c r="C35" s="115" t="s">
        <v>639</v>
      </c>
      <c r="D35" s="112" t="s">
        <v>430</v>
      </c>
      <c r="E35" s="113" t="s">
        <v>416</v>
      </c>
      <c r="F35" s="113">
        <v>70</v>
      </c>
      <c r="G35" s="265">
        <v>3</v>
      </c>
      <c r="H35" s="114">
        <v>650000</v>
      </c>
      <c r="I35" s="129">
        <f t="shared" si="16"/>
        <v>45500000</v>
      </c>
      <c r="J35" s="343">
        <f>+K35-'Jerarq. Riesgos Plazo'!$K$77*'Aplicación proyecto BD'!K35</f>
        <v>2.7</v>
      </c>
      <c r="K35" s="4">
        <v>3</v>
      </c>
      <c r="L35" s="202">
        <f>+K35*('Jerarq. Riesgos Plazo'!$L$77+1)</f>
        <v>4.7492026391385318</v>
      </c>
      <c r="M35" s="64">
        <f>+N35*(-'Jerarq. Riesgos Costos'!$J$74+1)</f>
        <v>36400000</v>
      </c>
      <c r="N35" s="203">
        <f t="shared" si="18"/>
        <v>45500000</v>
      </c>
      <c r="O35" s="49">
        <f>+N35*('Jerarq. Riesgos Costos'!$K$74+1)</f>
        <v>62960199.298301026</v>
      </c>
      <c r="P35" s="64">
        <f>+Q35-Q35*'Jerarq. Riesgos Plazo'!$Q$77</f>
        <v>2.7</v>
      </c>
      <c r="Q35" s="4">
        <f t="shared" si="13"/>
        <v>3</v>
      </c>
      <c r="R35" s="264">
        <f>+Q35+Q35*'Jerarq. Riesgos Plazo'!$R$77</f>
        <v>4.2107567285060146</v>
      </c>
      <c r="S35" s="38">
        <f>+T35*(-'Jerarq. Riesgos Costos'!$P$74+1)</f>
        <v>36400000</v>
      </c>
      <c r="T35" s="203">
        <f t="shared" si="17"/>
        <v>45500000</v>
      </c>
      <c r="U35" s="34">
        <f>+T35*('Jerarq. Riesgos Costos'!$Q$74+1)</f>
        <v>60285797.193204097</v>
      </c>
      <c r="V35" s="29"/>
      <c r="W35" s="4">
        <v>3</v>
      </c>
      <c r="X35" s="256">
        <f>+W35*('Jerarq. Riesgos Plazo'!$M$65/100+1)</f>
        <v>3.0035861069946623</v>
      </c>
      <c r="Y35" s="29"/>
      <c r="Z35" s="4"/>
      <c r="AA35" s="30"/>
      <c r="AB35" s="29"/>
      <c r="AC35" s="4">
        <v>3</v>
      </c>
      <c r="AD35" s="256">
        <f>+AC35*('Jerarq. Riesgos Plazo'!$M$65/100+1)</f>
        <v>3.0035861069946623</v>
      </c>
      <c r="AE35" s="29"/>
      <c r="AF35" s="4"/>
      <c r="AG35" s="30"/>
    </row>
    <row r="36" spans="2:33" ht="18" x14ac:dyDescent="0.25">
      <c r="B36" s="110" t="s">
        <v>413</v>
      </c>
      <c r="C36" s="115" t="s">
        <v>640</v>
      </c>
      <c r="D36" s="112" t="s">
        <v>431</v>
      </c>
      <c r="E36" s="113" t="s">
        <v>416</v>
      </c>
      <c r="F36" s="113">
        <v>7</v>
      </c>
      <c r="G36" s="265">
        <v>2</v>
      </c>
      <c r="H36" s="114">
        <v>260000</v>
      </c>
      <c r="I36" s="129">
        <f t="shared" si="16"/>
        <v>1820000</v>
      </c>
      <c r="J36" s="343">
        <f>+K36-'Jerarq. Riesgos Plazo'!$K$77*'Aplicación proyecto BD'!K36</f>
        <v>1.8</v>
      </c>
      <c r="K36" s="4">
        <v>2</v>
      </c>
      <c r="L36" s="202">
        <f>+K36*('Jerarq. Riesgos Plazo'!$L$77+1)</f>
        <v>3.1661350927590211</v>
      </c>
      <c r="M36" s="64">
        <f>+N36*(-'Jerarq. Riesgos Costos'!$J$74+1)</f>
        <v>1456000</v>
      </c>
      <c r="N36" s="203">
        <f t="shared" si="18"/>
        <v>1820000</v>
      </c>
      <c r="O36" s="49">
        <f>+N36*('Jerarq. Riesgos Costos'!$K$74+1)</f>
        <v>2518407.971932041</v>
      </c>
      <c r="P36" s="64">
        <f>+Q36-Q36*'Jerarq. Riesgos Plazo'!$Q$77</f>
        <v>1.8</v>
      </c>
      <c r="Q36" s="4">
        <f t="shared" si="13"/>
        <v>2</v>
      </c>
      <c r="R36" s="264">
        <f>+Q36+Q36*'Jerarq. Riesgos Plazo'!$R$77</f>
        <v>2.807171152337343</v>
      </c>
      <c r="S36" s="38">
        <f>+T36*(-'Jerarq. Riesgos Costos'!$P$74+1)</f>
        <v>1456000</v>
      </c>
      <c r="T36" s="203">
        <f t="shared" si="17"/>
        <v>1820000</v>
      </c>
      <c r="U36" s="34">
        <f>+T36*('Jerarq. Riesgos Costos'!$Q$74+1)</f>
        <v>2411431.887728164</v>
      </c>
      <c r="V36" s="29"/>
      <c r="W36" s="4">
        <v>2</v>
      </c>
      <c r="X36" s="256">
        <f>+W36*('Jerarq. Riesgos Plazo'!$M$65/100+1)</f>
        <v>2.0023907379964414</v>
      </c>
      <c r="Y36" s="29"/>
      <c r="Z36" s="4"/>
      <c r="AA36" s="30"/>
      <c r="AB36" s="29"/>
      <c r="AC36" s="4">
        <v>2</v>
      </c>
      <c r="AD36" s="256">
        <f>+AC36*('Jerarq. Riesgos Plazo'!$M$65/100+1)</f>
        <v>2.0023907379964414</v>
      </c>
      <c r="AE36" s="29"/>
      <c r="AF36" s="4"/>
      <c r="AG36" s="30"/>
    </row>
    <row r="37" spans="2:33" ht="18" x14ac:dyDescent="0.25">
      <c r="B37" s="110" t="s">
        <v>413</v>
      </c>
      <c r="C37" s="115" t="s">
        <v>641</v>
      </c>
      <c r="D37" s="112" t="s">
        <v>432</v>
      </c>
      <c r="E37" s="113" t="s">
        <v>416</v>
      </c>
      <c r="F37" s="113">
        <v>12.5</v>
      </c>
      <c r="G37" s="265">
        <v>3</v>
      </c>
      <c r="H37" s="114">
        <v>27146</v>
      </c>
      <c r="I37" s="129">
        <f t="shared" si="16"/>
        <v>339325</v>
      </c>
      <c r="J37" s="343">
        <f>+K37-'Jerarq. Riesgos Plazo'!$K$77*'Aplicación proyecto BD'!K37</f>
        <v>2.7</v>
      </c>
      <c r="K37" s="4">
        <v>3</v>
      </c>
      <c r="L37" s="202">
        <f>+K37*('Jerarq. Riesgos Plazo'!$L$77+1)</f>
        <v>4.7492026391385318</v>
      </c>
      <c r="M37" s="64">
        <f>+N37*(-'Jerarq. Riesgos Costos'!$J$74+1)</f>
        <v>271460</v>
      </c>
      <c r="N37" s="203">
        <f t="shared" si="18"/>
        <v>339325</v>
      </c>
      <c r="O37" s="49">
        <f>+N37*('Jerarq. Riesgos Costos'!$K$74+1)</f>
        <v>469537.79399771418</v>
      </c>
      <c r="P37" s="64">
        <f>+Q37-Q37*'Jerarq. Riesgos Plazo'!$Q$77</f>
        <v>2.7</v>
      </c>
      <c r="Q37" s="4">
        <f t="shared" si="13"/>
        <v>3</v>
      </c>
      <c r="R37" s="264">
        <f>+Q37+Q37*'Jerarq. Riesgos Plazo'!$R$77</f>
        <v>4.2107567285060146</v>
      </c>
      <c r="S37" s="38">
        <f>+T37*(-'Jerarq. Riesgos Costos'!$P$74+1)</f>
        <v>271460</v>
      </c>
      <c r="T37" s="203">
        <f t="shared" si="17"/>
        <v>339325</v>
      </c>
      <c r="U37" s="34">
        <f>+T37*('Jerarq. Riesgos Costos'!$Q$74+1)</f>
        <v>449592.92599085672</v>
      </c>
      <c r="V37" s="29"/>
      <c r="W37" s="4">
        <v>3</v>
      </c>
      <c r="X37" s="256">
        <f>+W37*('Jerarq. Riesgos Plazo'!$M$65/100+1)</f>
        <v>3.0035861069946623</v>
      </c>
      <c r="Y37" s="29"/>
      <c r="Z37" s="4"/>
      <c r="AA37" s="30"/>
      <c r="AB37" s="29"/>
      <c r="AC37" s="4">
        <v>3</v>
      </c>
      <c r="AD37" s="256">
        <f>+AC37*('Jerarq. Riesgos Plazo'!$M$65/100+1)</f>
        <v>3.0035861069946623</v>
      </c>
      <c r="AE37" s="29"/>
      <c r="AF37" s="4"/>
      <c r="AG37" s="30"/>
    </row>
    <row r="38" spans="2:33" ht="18" x14ac:dyDescent="0.25">
      <c r="B38" s="110" t="s">
        <v>413</v>
      </c>
      <c r="C38" s="115" t="s">
        <v>642</v>
      </c>
      <c r="D38" s="112" t="s">
        <v>433</v>
      </c>
      <c r="E38" s="113" t="s">
        <v>416</v>
      </c>
      <c r="F38" s="113">
        <v>10.5</v>
      </c>
      <c r="G38" s="265">
        <v>2</v>
      </c>
      <c r="H38" s="114">
        <v>650000</v>
      </c>
      <c r="I38" s="129">
        <f t="shared" si="16"/>
        <v>6825000</v>
      </c>
      <c r="J38" s="343">
        <f>+K38-'Jerarq. Riesgos Plazo'!$K$77*'Aplicación proyecto BD'!K38</f>
        <v>1.8</v>
      </c>
      <c r="K38" s="4">
        <v>2</v>
      </c>
      <c r="L38" s="202">
        <f>+K38*('Jerarq. Riesgos Plazo'!$L$77+1)</f>
        <v>3.1661350927590211</v>
      </c>
      <c r="M38" s="64">
        <f>+N38*(-'Jerarq. Riesgos Costos'!$J$74+1)</f>
        <v>5460000</v>
      </c>
      <c r="N38" s="203">
        <f t="shared" si="18"/>
        <v>6825000</v>
      </c>
      <c r="O38" s="49">
        <f>+N38*('Jerarq. Riesgos Costos'!$K$74+1)</f>
        <v>9444029.8947451543</v>
      </c>
      <c r="P38" s="64">
        <f>+Q38-Q38*'Jerarq. Riesgos Plazo'!$Q$77</f>
        <v>1.8</v>
      </c>
      <c r="Q38" s="4">
        <f t="shared" si="13"/>
        <v>2</v>
      </c>
      <c r="R38" s="264">
        <f>+Q38+Q38*'Jerarq. Riesgos Plazo'!$R$77</f>
        <v>2.807171152337343</v>
      </c>
      <c r="S38" s="38">
        <f>+T38*(-'Jerarq. Riesgos Costos'!$P$74+1)</f>
        <v>5460000</v>
      </c>
      <c r="T38" s="203">
        <f t="shared" si="17"/>
        <v>6825000</v>
      </c>
      <c r="U38" s="34">
        <f>+T38*('Jerarq. Riesgos Costos'!$Q$74+1)</f>
        <v>9042869.5789806154</v>
      </c>
      <c r="V38" s="29"/>
      <c r="W38" s="4">
        <v>2</v>
      </c>
      <c r="X38" s="256">
        <f>+W38*('Jerarq. Riesgos Plazo'!$M$65/100+1)</f>
        <v>2.0023907379964414</v>
      </c>
      <c r="Y38" s="29"/>
      <c r="Z38" s="4"/>
      <c r="AA38" s="30"/>
      <c r="AB38" s="29"/>
      <c r="AC38" s="4">
        <v>2</v>
      </c>
      <c r="AD38" s="256">
        <f>+AC38*('Jerarq. Riesgos Plazo'!$M$65/100+1)</f>
        <v>2.0023907379964414</v>
      </c>
      <c r="AE38" s="29"/>
      <c r="AF38" s="4"/>
      <c r="AG38" s="30"/>
    </row>
    <row r="39" spans="2:33" ht="18" x14ac:dyDescent="0.25">
      <c r="B39" s="251" t="s">
        <v>450</v>
      </c>
      <c r="C39" s="251" t="s">
        <v>456</v>
      </c>
      <c r="D39" s="252" t="s">
        <v>449</v>
      </c>
      <c r="E39" s="253"/>
      <c r="F39" s="254"/>
      <c r="G39" s="261">
        <f>+SUM(G40:G48)</f>
        <v>8.3000000000000007</v>
      </c>
      <c r="H39" s="255"/>
      <c r="I39" s="256">
        <f t="shared" ref="I39:O39" si="19">+SUM(I40:I48)</f>
        <v>62823214.939990401</v>
      </c>
      <c r="J39" s="261">
        <f t="shared" si="19"/>
        <v>7.4700000000000015</v>
      </c>
      <c r="K39" s="261">
        <f t="shared" si="19"/>
        <v>8.3000000000000007</v>
      </c>
      <c r="L39" s="256">
        <f t="shared" si="19"/>
        <v>13.139460634949936</v>
      </c>
      <c r="M39" s="260">
        <f t="shared" si="19"/>
        <v>56540893.44599136</v>
      </c>
      <c r="N39" s="261">
        <f t="shared" si="19"/>
        <v>62823214.939990401</v>
      </c>
      <c r="O39" s="262">
        <f t="shared" si="19"/>
        <v>78449901.877206743</v>
      </c>
      <c r="P39" s="260">
        <f t="shared" ref="P39:U39" si="20">+SUM(P40:P48)</f>
        <v>7.4700000000000015</v>
      </c>
      <c r="Q39" s="261">
        <f t="shared" si="20"/>
        <v>8.3000000000000007</v>
      </c>
      <c r="R39" s="262">
        <f t="shared" si="20"/>
        <v>11.649760282199974</v>
      </c>
      <c r="S39" s="368">
        <f t="shared" si="20"/>
        <v>56540893.44599136</v>
      </c>
      <c r="T39" s="261">
        <f t="shared" si="20"/>
        <v>62823214.939990401</v>
      </c>
      <c r="U39" s="262">
        <f t="shared" si="20"/>
        <v>79469015.782662794</v>
      </c>
      <c r="V39" s="260">
        <v>7</v>
      </c>
      <c r="W39" s="261">
        <f>+SUM(W40:W48)</f>
        <v>8.3000000000000007</v>
      </c>
      <c r="X39" s="256">
        <f>+W39*('Jerarq. Riesgos Plazo'!$M$65/100+1)</f>
        <v>8.3099215626852327</v>
      </c>
      <c r="Y39" s="260"/>
      <c r="Z39" s="261"/>
      <c r="AA39" s="262"/>
      <c r="AB39" s="260">
        <v>7</v>
      </c>
      <c r="AC39" s="261">
        <f>+SUM(AC40:AC48)</f>
        <v>8.3000000000000007</v>
      </c>
      <c r="AD39" s="256">
        <f>+AC39*('Jerarq. Riesgos Plazo'!$M$65/100+1)</f>
        <v>8.3099215626852327</v>
      </c>
      <c r="AE39" s="260"/>
      <c r="AF39" s="261"/>
      <c r="AG39" s="262"/>
    </row>
    <row r="40" spans="2:33" ht="18" x14ac:dyDescent="0.25">
      <c r="B40" s="110" t="s">
        <v>450</v>
      </c>
      <c r="C40" s="115" t="s">
        <v>643</v>
      </c>
      <c r="D40" s="112" t="s">
        <v>452</v>
      </c>
      <c r="E40" s="113" t="s">
        <v>453</v>
      </c>
      <c r="F40" s="113">
        <v>1</v>
      </c>
      <c r="G40" s="265">
        <v>1</v>
      </c>
      <c r="H40" s="114">
        <v>5757534.4407105129</v>
      </c>
      <c r="I40" s="129">
        <f t="shared" ref="I40:I48" si="21">+F40*H40</f>
        <v>5757534.4407105129</v>
      </c>
      <c r="J40" s="343">
        <f>+K40-'Jerarq. Riesgos Plazo'!$K$77*'Aplicación proyecto BD'!K40</f>
        <v>0.9</v>
      </c>
      <c r="K40" s="4">
        <v>1</v>
      </c>
      <c r="L40" s="202">
        <f>+K40*('Jerarq. Riesgos Plazo'!$L$77+1)</f>
        <v>1.5830675463795105</v>
      </c>
      <c r="M40" s="64">
        <f>+N40*(-'Jerarq. Riesgos Costos'!$J$71+1)</f>
        <v>5181780.9966394622</v>
      </c>
      <c r="N40" s="203">
        <f t="shared" si="18"/>
        <v>5757534.4407105129</v>
      </c>
      <c r="O40" s="49">
        <f>+N40*('Jerarq. Riesgos Costos'!$K$71+1)</f>
        <v>7189667.2648769608</v>
      </c>
      <c r="P40" s="64">
        <f>+Q40-Q40*'Jerarq. Riesgos Plazo'!$Q$77</f>
        <v>0.9</v>
      </c>
      <c r="Q40" s="4">
        <f t="shared" si="13"/>
        <v>1</v>
      </c>
      <c r="R40" s="264">
        <f>+Q40+Q40*'Jerarq. Riesgos Plazo'!$R$77</f>
        <v>1.4035855761686715</v>
      </c>
      <c r="S40" s="38">
        <f>+T40*(-'Jerarq. Riesgos Costos'!$P$71+1)</f>
        <v>5181780.9966394622</v>
      </c>
      <c r="T40" s="203">
        <f t="shared" si="17"/>
        <v>5757534.4407105129</v>
      </c>
      <c r="U40" s="34">
        <f>+T40*('Jerarq. Riesgos Costos'!$Q$71+1)</f>
        <v>7283065.595657629</v>
      </c>
      <c r="V40" s="29"/>
      <c r="W40" s="4">
        <v>1</v>
      </c>
      <c r="X40" s="256">
        <f>+W40*('Jerarq. Riesgos Plazo'!$M$65/100+1)</f>
        <v>1.0011953689982207</v>
      </c>
      <c r="Y40" s="29"/>
      <c r="Z40" s="4"/>
      <c r="AA40" s="30"/>
      <c r="AB40" s="29"/>
      <c r="AC40" s="4">
        <v>1</v>
      </c>
      <c r="AD40" s="256">
        <f>+AC40*('Jerarq. Riesgos Plazo'!$M$65/100+1)</f>
        <v>1.0011953689982207</v>
      </c>
      <c r="AE40" s="29"/>
      <c r="AF40" s="4"/>
      <c r="AG40" s="30"/>
    </row>
    <row r="41" spans="2:33" ht="18" x14ac:dyDescent="0.25">
      <c r="B41" s="110" t="s">
        <v>450</v>
      </c>
      <c r="C41" s="115" t="s">
        <v>644</v>
      </c>
      <c r="D41" s="112" t="s">
        <v>455</v>
      </c>
      <c r="E41" s="113" t="s">
        <v>453</v>
      </c>
      <c r="F41" s="113">
        <v>2</v>
      </c>
      <c r="G41" s="265">
        <v>0.5</v>
      </c>
      <c r="H41" s="114">
        <v>5466788.3821411431</v>
      </c>
      <c r="I41" s="129">
        <f t="shared" si="21"/>
        <v>10933576.764282286</v>
      </c>
      <c r="J41" s="343">
        <f>+K41-'Jerarq. Riesgos Plazo'!$K$77*'Aplicación proyecto BD'!K41</f>
        <v>0.45</v>
      </c>
      <c r="K41" s="4">
        <v>0.5</v>
      </c>
      <c r="L41" s="202">
        <f>+K41*('Jerarq. Riesgos Plazo'!$L$77+1)</f>
        <v>0.79153377318975526</v>
      </c>
      <c r="M41" s="64">
        <f>+N41*(-'Jerarq. Riesgos Costos'!$J$71+1)</f>
        <v>9840219.0878540576</v>
      </c>
      <c r="N41" s="203">
        <f t="shared" si="18"/>
        <v>10933576.764282286</v>
      </c>
      <c r="O41" s="49">
        <f>+N41*('Jerarq. Riesgos Costos'!$K$71+1)</f>
        <v>13653201.688964441</v>
      </c>
      <c r="P41" s="64">
        <f>+Q41-Q41*'Jerarq. Riesgos Plazo'!$Q$77</f>
        <v>0.45</v>
      </c>
      <c r="Q41" s="4">
        <f t="shared" si="13"/>
        <v>0.5</v>
      </c>
      <c r="R41" s="264">
        <f>+Q41+Q41*'Jerarq. Riesgos Plazo'!$R$77</f>
        <v>0.70179278808433576</v>
      </c>
      <c r="S41" s="38">
        <f>+T41*(-'Jerarq. Riesgos Costos'!$P$71+1)</f>
        <v>9840219.0878540576</v>
      </c>
      <c r="T41" s="203">
        <f t="shared" si="17"/>
        <v>10933576.764282286</v>
      </c>
      <c r="U41" s="34">
        <f>+T41*('Jerarq. Riesgos Costos'!$Q$71+1)</f>
        <v>13830565.425084837</v>
      </c>
      <c r="V41" s="29"/>
      <c r="W41" s="4">
        <v>0.5</v>
      </c>
      <c r="X41" s="256">
        <f>+W41*('Jerarq. Riesgos Plazo'!$M$65/100+1)</f>
        <v>0.50059768449911035</v>
      </c>
      <c r="Y41" s="29"/>
      <c r="Z41" s="4"/>
      <c r="AA41" s="30"/>
      <c r="AB41" s="29"/>
      <c r="AC41" s="4">
        <v>0.5</v>
      </c>
      <c r="AD41" s="256">
        <f>+AC41*('Jerarq. Riesgos Plazo'!$M$65/100+1)</f>
        <v>0.50059768449911035</v>
      </c>
      <c r="AE41" s="29"/>
      <c r="AF41" s="4"/>
      <c r="AG41" s="30"/>
    </row>
    <row r="42" spans="2:33" ht="18" x14ac:dyDescent="0.25">
      <c r="B42" s="110" t="s">
        <v>450</v>
      </c>
      <c r="C42" s="115" t="s">
        <v>645</v>
      </c>
      <c r="D42" s="112" t="s">
        <v>457</v>
      </c>
      <c r="E42" s="113" t="s">
        <v>453</v>
      </c>
      <c r="F42" s="113">
        <v>2</v>
      </c>
      <c r="G42" s="265">
        <v>0.5</v>
      </c>
      <c r="H42" s="114">
        <v>4100000</v>
      </c>
      <c r="I42" s="129">
        <f t="shared" si="21"/>
        <v>8200000</v>
      </c>
      <c r="J42" s="343">
        <f>+K42-'Jerarq. Riesgos Plazo'!$K$77*'Aplicación proyecto BD'!K42</f>
        <v>0.45</v>
      </c>
      <c r="K42" s="4">
        <v>0.5</v>
      </c>
      <c r="L42" s="202">
        <f>+K42*('Jerarq. Riesgos Plazo'!$L$77+1)</f>
        <v>0.79153377318975526</v>
      </c>
      <c r="M42" s="64">
        <f>+N42*(-'Jerarq. Riesgos Costos'!$J$71+1)</f>
        <v>7380000</v>
      </c>
      <c r="N42" s="203">
        <f t="shared" si="18"/>
        <v>8200000</v>
      </c>
      <c r="O42" s="49">
        <f>+N42*('Jerarq. Riesgos Costos'!$K$71+1)</f>
        <v>10239673.280133372</v>
      </c>
      <c r="P42" s="64">
        <f>+Q42-Q42*'Jerarq. Riesgos Plazo'!$Q$77</f>
        <v>0.45</v>
      </c>
      <c r="Q42" s="4">
        <f t="shared" si="13"/>
        <v>0.5</v>
      </c>
      <c r="R42" s="264">
        <f>+Q42+Q42*'Jerarq. Riesgos Plazo'!$R$77</f>
        <v>0.70179278808433576</v>
      </c>
      <c r="S42" s="38">
        <f>+T42*(-'Jerarq. Riesgos Costos'!$P$71+1)</f>
        <v>7380000</v>
      </c>
      <c r="T42" s="203">
        <f t="shared" si="17"/>
        <v>8200000</v>
      </c>
      <c r="U42" s="34">
        <f>+T42*('Jerarq. Riesgos Costos'!$Q$71+1)</f>
        <v>10372693.120533487</v>
      </c>
      <c r="V42" s="29"/>
      <c r="W42" s="4">
        <v>0.5</v>
      </c>
      <c r="X42" s="256">
        <f>+W42*('Jerarq. Riesgos Plazo'!$M$65/100+1)</f>
        <v>0.50059768449911035</v>
      </c>
      <c r="Y42" s="29"/>
      <c r="Z42" s="4"/>
      <c r="AA42" s="30"/>
      <c r="AB42" s="29"/>
      <c r="AC42" s="4">
        <v>0.5</v>
      </c>
      <c r="AD42" s="256">
        <f>+AC42*('Jerarq. Riesgos Plazo'!$M$65/100+1)</f>
        <v>0.50059768449911035</v>
      </c>
      <c r="AE42" s="29"/>
      <c r="AF42" s="4"/>
      <c r="AG42" s="30"/>
    </row>
    <row r="43" spans="2:33" ht="18" x14ac:dyDescent="0.25">
      <c r="B43" s="110" t="s">
        <v>450</v>
      </c>
      <c r="C43" s="115" t="s">
        <v>646</v>
      </c>
      <c r="D43" s="112" t="s">
        <v>459</v>
      </c>
      <c r="E43" s="113" t="s">
        <v>453</v>
      </c>
      <c r="F43" s="113">
        <v>1</v>
      </c>
      <c r="G43" s="265">
        <v>0.3</v>
      </c>
      <c r="H43" s="114">
        <v>3150000</v>
      </c>
      <c r="I43" s="129">
        <f t="shared" si="21"/>
        <v>3150000</v>
      </c>
      <c r="J43" s="343">
        <f>+K43-'Jerarq. Riesgos Plazo'!$K$77*'Aplicación proyecto BD'!K43</f>
        <v>0.27</v>
      </c>
      <c r="K43" s="4">
        <v>0.3</v>
      </c>
      <c r="L43" s="202">
        <f>+K43*('Jerarq. Riesgos Plazo'!$L$77+1)</f>
        <v>0.47492026391385311</v>
      </c>
      <c r="M43" s="64">
        <f>+N43*(-'Jerarq. Riesgos Costos'!$J$71+1)</f>
        <v>2835000</v>
      </c>
      <c r="N43" s="203">
        <f t="shared" si="18"/>
        <v>3150000</v>
      </c>
      <c r="O43" s="49">
        <f>+N43*('Jerarq. Riesgos Costos'!$K$71+1)</f>
        <v>3933533.0283439173</v>
      </c>
      <c r="P43" s="64">
        <f>+Q43-Q43*'Jerarq. Riesgos Plazo'!$Q$77</f>
        <v>0.27</v>
      </c>
      <c r="Q43" s="4">
        <f t="shared" si="13"/>
        <v>0.3</v>
      </c>
      <c r="R43" s="264">
        <f>+Q43+Q43*'Jerarq. Riesgos Plazo'!$R$77</f>
        <v>0.42107567285060143</v>
      </c>
      <c r="S43" s="38">
        <f>+T43*(-'Jerarq. Riesgos Costos'!$P$71+1)</f>
        <v>2835000</v>
      </c>
      <c r="T43" s="203">
        <f t="shared" si="17"/>
        <v>3150000</v>
      </c>
      <c r="U43" s="34">
        <f>+T43*('Jerarq. Riesgos Costos'!$Q$71+1)</f>
        <v>3984632.1133756689</v>
      </c>
      <c r="V43" s="29"/>
      <c r="W43" s="4">
        <v>0.3</v>
      </c>
      <c r="X43" s="256">
        <f>+W43*('Jerarq. Riesgos Plazo'!$M$65/100+1)</f>
        <v>0.30035861069946618</v>
      </c>
      <c r="Y43" s="29"/>
      <c r="Z43" s="4"/>
      <c r="AA43" s="30"/>
      <c r="AB43" s="29"/>
      <c r="AC43" s="4">
        <v>0.3</v>
      </c>
      <c r="AD43" s="256">
        <f>+AC43*('Jerarq. Riesgos Plazo'!$M$65/100+1)</f>
        <v>0.30035861069946618</v>
      </c>
      <c r="AE43" s="29"/>
      <c r="AF43" s="4"/>
      <c r="AG43" s="30"/>
    </row>
    <row r="44" spans="2:33" ht="18" x14ac:dyDescent="0.25">
      <c r="B44" s="110" t="s">
        <v>450</v>
      </c>
      <c r="C44" s="115" t="s">
        <v>647</v>
      </c>
      <c r="D44" s="112" t="s">
        <v>461</v>
      </c>
      <c r="E44" s="113" t="s">
        <v>453</v>
      </c>
      <c r="F44" s="113">
        <v>1</v>
      </c>
      <c r="G44" s="265">
        <v>1</v>
      </c>
      <c r="H44" s="114">
        <v>1140000</v>
      </c>
      <c r="I44" s="129">
        <f t="shared" si="21"/>
        <v>1140000</v>
      </c>
      <c r="J44" s="343">
        <f>+K44-'Jerarq. Riesgos Plazo'!$K$77*'Aplicación proyecto BD'!K44</f>
        <v>0.9</v>
      </c>
      <c r="K44" s="4">
        <v>1</v>
      </c>
      <c r="L44" s="202">
        <f>+K44*('Jerarq. Riesgos Plazo'!$L$77+1)</f>
        <v>1.5830675463795105</v>
      </c>
      <c r="M44" s="64">
        <f>+N44*(-'Jerarq. Riesgos Costos'!$J$71+1)</f>
        <v>1026000</v>
      </c>
      <c r="N44" s="203">
        <f t="shared" si="18"/>
        <v>1140000</v>
      </c>
      <c r="O44" s="49">
        <f>+N44*('Jerarq. Riesgos Costos'!$K$71+1)</f>
        <v>1423564.3340673223</v>
      </c>
      <c r="P44" s="64">
        <f>+Q44-Q44*'Jerarq. Riesgos Plazo'!$Q$77</f>
        <v>0.9</v>
      </c>
      <c r="Q44" s="4">
        <f t="shared" si="13"/>
        <v>1</v>
      </c>
      <c r="R44" s="264">
        <f>+Q44+Q44*'Jerarq. Riesgos Plazo'!$R$77</f>
        <v>1.4035855761686715</v>
      </c>
      <c r="S44" s="38">
        <f>+T44*(-'Jerarq. Riesgos Costos'!$P$71+1)</f>
        <v>1026000</v>
      </c>
      <c r="T44" s="203">
        <f t="shared" si="17"/>
        <v>1140000</v>
      </c>
      <c r="U44" s="34">
        <f>+T44*('Jerarq. Riesgos Costos'!$Q$71+1)</f>
        <v>1442057.3362692897</v>
      </c>
      <c r="V44" s="29"/>
      <c r="W44" s="4">
        <v>1</v>
      </c>
      <c r="X44" s="256">
        <f>+W44*('Jerarq. Riesgos Plazo'!$M$65/100+1)</f>
        <v>1.0011953689982207</v>
      </c>
      <c r="Y44" s="29"/>
      <c r="Z44" s="4"/>
      <c r="AA44" s="30"/>
      <c r="AB44" s="29"/>
      <c r="AC44" s="4">
        <v>1</v>
      </c>
      <c r="AD44" s="256">
        <f>+AC44*('Jerarq. Riesgos Plazo'!$M$65/100+1)</f>
        <v>1.0011953689982207</v>
      </c>
      <c r="AE44" s="29"/>
      <c r="AF44" s="4"/>
      <c r="AG44" s="30"/>
    </row>
    <row r="45" spans="2:33" ht="18" x14ac:dyDescent="0.25">
      <c r="B45" s="110" t="s">
        <v>450</v>
      </c>
      <c r="C45" s="115" t="s">
        <v>648</v>
      </c>
      <c r="D45" s="112" t="s">
        <v>463</v>
      </c>
      <c r="E45" s="113" t="s">
        <v>453</v>
      </c>
      <c r="F45" s="113">
        <v>1</v>
      </c>
      <c r="G45" s="265">
        <v>2</v>
      </c>
      <c r="H45" s="114">
        <v>5563703.7349975994</v>
      </c>
      <c r="I45" s="129">
        <f t="shared" si="21"/>
        <v>5563703.7349975994</v>
      </c>
      <c r="J45" s="343">
        <f>+K45-'Jerarq. Riesgos Plazo'!$K$77*'Aplicación proyecto BD'!K45</f>
        <v>1.8</v>
      </c>
      <c r="K45" s="4">
        <v>2</v>
      </c>
      <c r="L45" s="202">
        <f>+K45*('Jerarq. Riesgos Plazo'!$L$77+1)</f>
        <v>3.1661350927590211</v>
      </c>
      <c r="M45" s="64">
        <f>+N45*(-'Jerarq. Riesgos Costos'!$J$71+1)</f>
        <v>5007333.3614978399</v>
      </c>
      <c r="N45" s="203">
        <f t="shared" si="18"/>
        <v>5563703.7349975994</v>
      </c>
      <c r="O45" s="49">
        <f>+N45*('Jerarq. Riesgos Costos'!$K$71+1)</f>
        <v>6947622.9846138004</v>
      </c>
      <c r="P45" s="64">
        <f>+Q45-Q45*'Jerarq. Riesgos Plazo'!$Q$77</f>
        <v>1.8</v>
      </c>
      <c r="Q45" s="4">
        <f t="shared" si="13"/>
        <v>2</v>
      </c>
      <c r="R45" s="264">
        <f>+Q45+Q45*'Jerarq. Riesgos Plazo'!$R$77</f>
        <v>2.807171152337343</v>
      </c>
      <c r="S45" s="38">
        <f>+T45*(-'Jerarq. Riesgos Costos'!$P$71+1)</f>
        <v>5007333.3614978399</v>
      </c>
      <c r="T45" s="203">
        <f t="shared" si="17"/>
        <v>5563703.7349975994</v>
      </c>
      <c r="U45" s="34">
        <f>+T45*('Jerarq. Riesgos Costos'!$Q$71+1)</f>
        <v>7037877.0069141546</v>
      </c>
      <c r="V45" s="29"/>
      <c r="W45" s="4">
        <v>2</v>
      </c>
      <c r="X45" s="256">
        <f>+W45*('Jerarq. Riesgos Plazo'!$M$65/100+1)</f>
        <v>2.0023907379964414</v>
      </c>
      <c r="Y45" s="29"/>
      <c r="Z45" s="4"/>
      <c r="AA45" s="30"/>
      <c r="AB45" s="29"/>
      <c r="AC45" s="4">
        <v>2</v>
      </c>
      <c r="AD45" s="256">
        <f>+AC45*('Jerarq. Riesgos Plazo'!$M$65/100+1)</f>
        <v>2.0023907379964414</v>
      </c>
      <c r="AE45" s="29"/>
      <c r="AF45" s="4"/>
      <c r="AG45" s="30"/>
    </row>
    <row r="46" spans="2:33" ht="18" x14ac:dyDescent="0.25">
      <c r="B46" s="110" t="s">
        <v>450</v>
      </c>
      <c r="C46" s="115" t="s">
        <v>649</v>
      </c>
      <c r="D46" s="112" t="s">
        <v>465</v>
      </c>
      <c r="E46" s="113" t="s">
        <v>411</v>
      </c>
      <c r="F46" s="113">
        <v>1</v>
      </c>
      <c r="G46" s="265">
        <v>1</v>
      </c>
      <c r="H46" s="114">
        <v>2500000</v>
      </c>
      <c r="I46" s="129">
        <f t="shared" si="21"/>
        <v>2500000</v>
      </c>
      <c r="J46" s="343">
        <f>+K46-'Jerarq. Riesgos Plazo'!$K$77*'Aplicación proyecto BD'!K46</f>
        <v>0.9</v>
      </c>
      <c r="K46" s="4">
        <v>1</v>
      </c>
      <c r="L46" s="202">
        <f>+K46*('Jerarq. Riesgos Plazo'!$L$77+1)</f>
        <v>1.5830675463795105</v>
      </c>
      <c r="M46" s="64">
        <f>+N46*(-'Jerarq. Riesgos Costos'!$J$71+1)</f>
        <v>2250000</v>
      </c>
      <c r="N46" s="203">
        <f t="shared" si="18"/>
        <v>2500000</v>
      </c>
      <c r="O46" s="49">
        <f>+N46*('Jerarq. Riesgos Costos'!$K$71+1)</f>
        <v>3121851.6097967597</v>
      </c>
      <c r="P46" s="64">
        <f>+Q46-Q46*'Jerarq. Riesgos Plazo'!$Q$77</f>
        <v>0.9</v>
      </c>
      <c r="Q46" s="4">
        <f t="shared" si="13"/>
        <v>1</v>
      </c>
      <c r="R46" s="264">
        <f>+Q46+Q46*'Jerarq. Riesgos Plazo'!$R$77</f>
        <v>1.4035855761686715</v>
      </c>
      <c r="S46" s="38">
        <f>+T46*(-'Jerarq. Riesgos Costos'!$P$71+1)</f>
        <v>2250000</v>
      </c>
      <c r="T46" s="203">
        <f t="shared" si="17"/>
        <v>2500000</v>
      </c>
      <c r="U46" s="34">
        <f>+T46*('Jerarq. Riesgos Costos'!$Q$71+1)</f>
        <v>3162406.4391870387</v>
      </c>
      <c r="V46" s="29"/>
      <c r="W46" s="4">
        <v>1</v>
      </c>
      <c r="X46" s="256">
        <f>+W46*('Jerarq. Riesgos Plazo'!$M$65/100+1)</f>
        <v>1.0011953689982207</v>
      </c>
      <c r="Y46" s="29"/>
      <c r="Z46" s="4"/>
      <c r="AA46" s="30"/>
      <c r="AB46" s="29"/>
      <c r="AC46" s="4">
        <v>1</v>
      </c>
      <c r="AD46" s="256">
        <f>+AC46*('Jerarq. Riesgos Plazo'!$M$65/100+1)</f>
        <v>1.0011953689982207</v>
      </c>
      <c r="AE46" s="29"/>
      <c r="AF46" s="4"/>
      <c r="AG46" s="30"/>
    </row>
    <row r="47" spans="2:33" ht="18" x14ac:dyDescent="0.25">
      <c r="B47" s="110" t="s">
        <v>450</v>
      </c>
      <c r="C47" s="115" t="s">
        <v>650</v>
      </c>
      <c r="D47" s="112" t="s">
        <v>467</v>
      </c>
      <c r="E47" s="113" t="s">
        <v>411</v>
      </c>
      <c r="F47" s="113">
        <v>1</v>
      </c>
      <c r="G47" s="265">
        <v>1</v>
      </c>
      <c r="H47" s="114">
        <v>4444000</v>
      </c>
      <c r="I47" s="129">
        <f t="shared" si="21"/>
        <v>4444000</v>
      </c>
      <c r="J47" s="343">
        <f>+K47-'Jerarq. Riesgos Plazo'!$K$77*'Aplicación proyecto BD'!K47</f>
        <v>0.9</v>
      </c>
      <c r="K47" s="4">
        <v>1</v>
      </c>
      <c r="L47" s="202">
        <f>+K47*('Jerarq. Riesgos Plazo'!$L$77+1)</f>
        <v>1.5830675463795105</v>
      </c>
      <c r="M47" s="64">
        <f>+N47*(-'Jerarq. Riesgos Costos'!$J$71+1)</f>
        <v>3999600</v>
      </c>
      <c r="N47" s="203">
        <f t="shared" si="18"/>
        <v>4444000</v>
      </c>
      <c r="O47" s="49">
        <f>+N47*('Jerarq. Riesgos Costos'!$K$71+1)</f>
        <v>5549403.4215747202</v>
      </c>
      <c r="P47" s="64">
        <f>+Q47-Q47*'Jerarq. Riesgos Plazo'!$Q$77</f>
        <v>0.9</v>
      </c>
      <c r="Q47" s="4">
        <f t="shared" si="13"/>
        <v>1</v>
      </c>
      <c r="R47" s="264">
        <f>+Q47+Q47*'Jerarq. Riesgos Plazo'!$R$77</f>
        <v>1.4035855761686715</v>
      </c>
      <c r="S47" s="38">
        <f>+T47*(-'Jerarq. Riesgos Costos'!$P$71+1)</f>
        <v>3999600</v>
      </c>
      <c r="T47" s="203">
        <f t="shared" si="17"/>
        <v>4444000</v>
      </c>
      <c r="U47" s="34">
        <f>+T47*('Jerarq. Riesgos Costos'!$Q$71+1)</f>
        <v>5621493.6862988798</v>
      </c>
      <c r="V47" s="29"/>
      <c r="W47" s="4">
        <v>1</v>
      </c>
      <c r="X47" s="256">
        <f>+W47*('Jerarq. Riesgos Plazo'!$M$65/100+1)</f>
        <v>1.0011953689982207</v>
      </c>
      <c r="Y47" s="29"/>
      <c r="Z47" s="4"/>
      <c r="AA47" s="30"/>
      <c r="AB47" s="29"/>
      <c r="AC47" s="4">
        <v>1</v>
      </c>
      <c r="AD47" s="256">
        <f>+AC47*('Jerarq. Riesgos Plazo'!$M$65/100+1)</f>
        <v>1.0011953689982207</v>
      </c>
      <c r="AE47" s="29"/>
      <c r="AF47" s="4"/>
      <c r="AG47" s="30"/>
    </row>
    <row r="48" spans="2:33" ht="18" x14ac:dyDescent="0.25">
      <c r="B48" s="110" t="s">
        <v>450</v>
      </c>
      <c r="C48" s="115" t="s">
        <v>691</v>
      </c>
      <c r="D48" s="112" t="s">
        <v>468</v>
      </c>
      <c r="E48" s="113" t="s">
        <v>411</v>
      </c>
      <c r="F48" s="113">
        <v>1</v>
      </c>
      <c r="G48" s="265">
        <v>1</v>
      </c>
      <c r="H48" s="114">
        <v>21134400</v>
      </c>
      <c r="I48" s="129">
        <f t="shared" si="21"/>
        <v>21134400</v>
      </c>
      <c r="J48" s="343">
        <f>+K48-'Jerarq. Riesgos Plazo'!$K$77*'Aplicación proyecto BD'!K48</f>
        <v>0.9</v>
      </c>
      <c r="K48" s="4">
        <v>1</v>
      </c>
      <c r="L48" s="202">
        <f>+K48*('Jerarq. Riesgos Plazo'!$L$77+1)</f>
        <v>1.5830675463795105</v>
      </c>
      <c r="M48" s="64">
        <f>+N48*(-'Jerarq. Riesgos Costos'!$J$71+1)</f>
        <v>19020960</v>
      </c>
      <c r="N48" s="203">
        <f t="shared" si="18"/>
        <v>21134400</v>
      </c>
      <c r="O48" s="49">
        <f>+N48*('Jerarq. Riesgos Costos'!$K$71+1)</f>
        <v>26391384.264835455</v>
      </c>
      <c r="P48" s="64">
        <f>+Q48-Q48*'Jerarq. Riesgos Plazo'!$Q$77</f>
        <v>0.9</v>
      </c>
      <c r="Q48" s="4">
        <f t="shared" si="13"/>
        <v>1</v>
      </c>
      <c r="R48" s="264">
        <f>+Q48+Q48*'Jerarq. Riesgos Plazo'!$R$77</f>
        <v>1.4035855761686715</v>
      </c>
      <c r="S48" s="38">
        <f>+T48*(-'Jerarq. Riesgos Costos'!$P$71+1)</f>
        <v>19020960</v>
      </c>
      <c r="T48" s="203">
        <f t="shared" si="17"/>
        <v>21134400</v>
      </c>
      <c r="U48" s="34">
        <f>+T48*('Jerarq. Riesgos Costos'!$Q$71+1)</f>
        <v>26734225.059341822</v>
      </c>
      <c r="V48" s="29"/>
      <c r="W48" s="4">
        <v>1</v>
      </c>
      <c r="X48" s="256">
        <f>+W48*('Jerarq. Riesgos Plazo'!$M$65/100+1)</f>
        <v>1.0011953689982207</v>
      </c>
      <c r="Y48" s="29"/>
      <c r="Z48" s="4"/>
      <c r="AA48" s="30"/>
      <c r="AB48" s="29"/>
      <c r="AC48" s="4">
        <v>1</v>
      </c>
      <c r="AD48" s="256">
        <f>+AC48*('Jerarq. Riesgos Plazo'!$M$65/100+1)</f>
        <v>1.0011953689982207</v>
      </c>
      <c r="AE48" s="29"/>
      <c r="AF48" s="4"/>
      <c r="AG48" s="30"/>
    </row>
    <row r="49" spans="2:33" ht="18" x14ac:dyDescent="0.25">
      <c r="B49" s="251" t="s">
        <v>470</v>
      </c>
      <c r="C49" s="251" t="s">
        <v>458</v>
      </c>
      <c r="D49" s="252" t="s">
        <v>469</v>
      </c>
      <c r="E49" s="253"/>
      <c r="F49" s="254"/>
      <c r="G49" s="261">
        <f>+SUM(G50:G79)</f>
        <v>18.7</v>
      </c>
      <c r="H49" s="255"/>
      <c r="I49" s="256">
        <f>+SUM(I50:I80)</f>
        <v>76633350</v>
      </c>
      <c r="J49" s="261">
        <f>+SUM(J50:J79)</f>
        <v>16.829999999999998</v>
      </c>
      <c r="K49" s="261">
        <f>+SUM(K50:K79)</f>
        <v>18.7</v>
      </c>
      <c r="L49" s="256">
        <f t="shared" ref="L49:U49" si="22">+SUM(L50:L80)</f>
        <v>29.761669871934796</v>
      </c>
      <c r="M49" s="260">
        <f t="shared" si="22"/>
        <v>61306680</v>
      </c>
      <c r="N49" s="261">
        <f t="shared" si="22"/>
        <v>76633350</v>
      </c>
      <c r="O49" s="262">
        <f t="shared" si="22"/>
        <v>106040681.0746474</v>
      </c>
      <c r="P49" s="260">
        <f t="shared" si="22"/>
        <v>16.919999999999998</v>
      </c>
      <c r="Q49" s="261">
        <f t="shared" si="22"/>
        <v>18.8</v>
      </c>
      <c r="R49" s="262">
        <f t="shared" si="22"/>
        <v>26.387408831971033</v>
      </c>
      <c r="S49" s="368">
        <f t="shared" si="22"/>
        <v>61306680</v>
      </c>
      <c r="T49" s="261">
        <f t="shared" si="22"/>
        <v>76633350</v>
      </c>
      <c r="U49" s="262">
        <f t="shared" si="22"/>
        <v>101536320.79858962</v>
      </c>
      <c r="V49" s="260">
        <v>15</v>
      </c>
      <c r="W49" s="261">
        <f>+SUM(W50:W79)</f>
        <v>18.7</v>
      </c>
      <c r="X49" s="256">
        <f>+W49*('Jerarq. Riesgos Plazo'!$M$65/100+1)</f>
        <v>18.722353400266726</v>
      </c>
      <c r="Y49" s="260"/>
      <c r="Z49" s="261"/>
      <c r="AA49" s="262"/>
      <c r="AB49" s="260">
        <v>15</v>
      </c>
      <c r="AC49" s="261">
        <f>+SUM(AC50:AC79)</f>
        <v>18.7</v>
      </c>
      <c r="AD49" s="256">
        <f>+AC49*('Jerarq. Riesgos Plazo'!$M$65/100+1)</f>
        <v>18.722353400266726</v>
      </c>
      <c r="AE49" s="260"/>
      <c r="AF49" s="261"/>
      <c r="AG49" s="262"/>
    </row>
    <row r="50" spans="2:33" ht="18" x14ac:dyDescent="0.25">
      <c r="B50" s="110" t="s">
        <v>470</v>
      </c>
      <c r="C50" s="115" t="s">
        <v>692</v>
      </c>
      <c r="D50" s="112" t="s">
        <v>471</v>
      </c>
      <c r="E50" s="113" t="s">
        <v>472</v>
      </c>
      <c r="F50" s="113">
        <v>1</v>
      </c>
      <c r="G50" s="265">
        <v>0.2</v>
      </c>
      <c r="H50" s="114">
        <v>56000</v>
      </c>
      <c r="I50" s="129">
        <f t="shared" ref="I50:I80" si="23">+F50*H50</f>
        <v>56000</v>
      </c>
      <c r="J50" s="343">
        <f>+K50-'Jerarq. Riesgos Plazo'!$K$77*'Aplicación proyecto BD'!K50</f>
        <v>0.18</v>
      </c>
      <c r="K50" s="4">
        <v>0.2</v>
      </c>
      <c r="L50" s="202">
        <f>+K50*('Jerarq. Riesgos Plazo'!$L$77+1)</f>
        <v>0.31661350927590215</v>
      </c>
      <c r="M50" s="64">
        <f>+N50*(-'Jerarq. Riesgos Costos'!$J$72+1)</f>
        <v>44800</v>
      </c>
      <c r="N50" s="203">
        <f t="shared" si="18"/>
        <v>56000</v>
      </c>
      <c r="O50" s="49">
        <f>+N50*('Jerarq. Riesgos Costos'!$K$72+1)</f>
        <v>77489.476059447421</v>
      </c>
      <c r="P50" s="64">
        <f>+Q50-Q50*'Jerarq. Riesgos Plazo'!$Q$77</f>
        <v>0.18</v>
      </c>
      <c r="Q50" s="4">
        <f t="shared" si="13"/>
        <v>0.2</v>
      </c>
      <c r="R50" s="264">
        <f>+Q50+Q50*'Jerarq. Riesgos Plazo'!$R$77</f>
        <v>0.28071711523373433</v>
      </c>
      <c r="S50" s="38">
        <f>+T50*(-'Jerarq. Riesgos Costos'!$P$72+1)</f>
        <v>44800</v>
      </c>
      <c r="T50" s="203">
        <f t="shared" si="17"/>
        <v>56000</v>
      </c>
      <c r="U50" s="34">
        <f>+T50*('Jerarq. Riesgos Costos'!$Q$72+1)</f>
        <v>74197.904237789655</v>
      </c>
      <c r="V50" s="29"/>
      <c r="W50" s="4">
        <v>0.2</v>
      </c>
      <c r="X50" s="256">
        <f>+W50*('Jerarq. Riesgos Plazo'!$M$65/100+1)</f>
        <v>0.20023907379964415</v>
      </c>
      <c r="Y50" s="29"/>
      <c r="Z50" s="4"/>
      <c r="AA50" s="30"/>
      <c r="AB50" s="29"/>
      <c r="AC50" s="4">
        <v>0.2</v>
      </c>
      <c r="AD50" s="256">
        <f>+AC50*('Jerarq. Riesgos Plazo'!$M$65/100+1)</f>
        <v>0.20023907379964415</v>
      </c>
      <c r="AE50" s="29"/>
      <c r="AF50" s="4"/>
      <c r="AG50" s="30"/>
    </row>
    <row r="51" spans="2:33" ht="18" x14ac:dyDescent="0.25">
      <c r="B51" s="110" t="s">
        <v>470</v>
      </c>
      <c r="C51" s="115" t="s">
        <v>693</v>
      </c>
      <c r="D51" s="112" t="s">
        <v>473</v>
      </c>
      <c r="E51" s="113" t="s">
        <v>472</v>
      </c>
      <c r="F51" s="113">
        <v>5</v>
      </c>
      <c r="G51" s="265">
        <v>0.3</v>
      </c>
      <c r="H51" s="114">
        <v>63000</v>
      </c>
      <c r="I51" s="129">
        <f t="shared" si="23"/>
        <v>315000</v>
      </c>
      <c r="J51" s="343">
        <f>+K51-'Jerarq. Riesgos Plazo'!$K$77*'Aplicación proyecto BD'!K51</f>
        <v>0.27</v>
      </c>
      <c r="K51" s="4">
        <v>0.3</v>
      </c>
      <c r="L51" s="202">
        <f>+K51*('Jerarq. Riesgos Plazo'!$L$77+1)</f>
        <v>0.47492026391385311</v>
      </c>
      <c r="M51" s="64">
        <f>+N51*(-'Jerarq. Riesgos Costos'!$J$72+1)</f>
        <v>252000</v>
      </c>
      <c r="N51" s="203">
        <f t="shared" si="18"/>
        <v>315000</v>
      </c>
      <c r="O51" s="49">
        <f>+N51*('Jerarq. Riesgos Costos'!$K$72+1)</f>
        <v>435878.30283439171</v>
      </c>
      <c r="P51" s="64">
        <f>+Q51-Q51*'Jerarq. Riesgos Plazo'!$Q$77</f>
        <v>0.27</v>
      </c>
      <c r="Q51" s="4">
        <f t="shared" si="13"/>
        <v>0.3</v>
      </c>
      <c r="R51" s="264">
        <f>+Q51+Q51*'Jerarq. Riesgos Plazo'!$R$77</f>
        <v>0.42107567285060143</v>
      </c>
      <c r="S51" s="38">
        <f>+T51*(-'Jerarq. Riesgos Costos'!$P$72+1)</f>
        <v>252000</v>
      </c>
      <c r="T51" s="203">
        <f t="shared" si="17"/>
        <v>315000</v>
      </c>
      <c r="U51" s="34">
        <f>+T51*('Jerarq. Riesgos Costos'!$Q$72+1)</f>
        <v>417363.21133756684</v>
      </c>
      <c r="V51" s="29"/>
      <c r="W51" s="4">
        <v>0.3</v>
      </c>
      <c r="X51" s="256">
        <f>+W51*('Jerarq. Riesgos Plazo'!$M$65/100+1)</f>
        <v>0.30035861069946618</v>
      </c>
      <c r="Y51" s="29"/>
      <c r="Z51" s="4"/>
      <c r="AA51" s="30"/>
      <c r="AB51" s="29"/>
      <c r="AC51" s="4">
        <v>0.3</v>
      </c>
      <c r="AD51" s="256">
        <f>+AC51*('Jerarq. Riesgos Plazo'!$M$65/100+1)</f>
        <v>0.30035861069946618</v>
      </c>
      <c r="AE51" s="29"/>
      <c r="AF51" s="4"/>
      <c r="AG51" s="30"/>
    </row>
    <row r="52" spans="2:33" ht="18" x14ac:dyDescent="0.25">
      <c r="B52" s="110" t="s">
        <v>470</v>
      </c>
      <c r="C52" s="115" t="s">
        <v>694</v>
      </c>
      <c r="D52" s="112" t="s">
        <v>474</v>
      </c>
      <c r="E52" s="113" t="s">
        <v>472</v>
      </c>
      <c r="F52" s="113">
        <v>258</v>
      </c>
      <c r="G52" s="265">
        <v>2</v>
      </c>
      <c r="H52" s="114">
        <v>77000</v>
      </c>
      <c r="I52" s="129">
        <f t="shared" si="23"/>
        <v>19866000</v>
      </c>
      <c r="J52" s="343">
        <f>+K52-'Jerarq. Riesgos Plazo'!$K$77*'Aplicación proyecto BD'!K52</f>
        <v>1.8</v>
      </c>
      <c r="K52" s="4">
        <v>2</v>
      </c>
      <c r="L52" s="202">
        <f>+K52*('Jerarq. Riesgos Plazo'!$L$77+1)</f>
        <v>3.1661350927590211</v>
      </c>
      <c r="M52" s="64">
        <f>+N52*(-'Jerarq. Riesgos Costos'!$J$72+1)</f>
        <v>15892800</v>
      </c>
      <c r="N52" s="203">
        <f t="shared" si="18"/>
        <v>19866000</v>
      </c>
      <c r="O52" s="49">
        <f>+N52*('Jerarq. Riesgos Costos'!$K$72+1)</f>
        <v>27489391.63208897</v>
      </c>
      <c r="P52" s="64">
        <f>+Q52-Q52*'Jerarq. Riesgos Plazo'!$Q$77</f>
        <v>1.8</v>
      </c>
      <c r="Q52" s="4">
        <f t="shared" si="13"/>
        <v>2</v>
      </c>
      <c r="R52" s="264">
        <f>+Q52+Q52*'Jerarq. Riesgos Plazo'!$R$77</f>
        <v>2.807171152337343</v>
      </c>
      <c r="S52" s="38">
        <f>+T52*(-'Jerarq. Riesgos Costos'!$P$72+1)</f>
        <v>15892800</v>
      </c>
      <c r="T52" s="203">
        <f t="shared" si="17"/>
        <v>19866000</v>
      </c>
      <c r="U52" s="34">
        <f>+T52*('Jerarq. Riesgos Costos'!$Q$72+1)</f>
        <v>26321706.528355882</v>
      </c>
      <c r="V52" s="29"/>
      <c r="W52" s="4">
        <v>2</v>
      </c>
      <c r="X52" s="256">
        <f>+W52*('Jerarq. Riesgos Plazo'!$M$65/100+1)</f>
        <v>2.0023907379964414</v>
      </c>
      <c r="Y52" s="29"/>
      <c r="Z52" s="4"/>
      <c r="AA52" s="30"/>
      <c r="AB52" s="29"/>
      <c r="AC52" s="4">
        <v>2</v>
      </c>
      <c r="AD52" s="256">
        <f>+AC52*('Jerarq. Riesgos Plazo'!$M$65/100+1)</f>
        <v>2.0023907379964414</v>
      </c>
      <c r="AE52" s="29"/>
      <c r="AF52" s="4"/>
      <c r="AG52" s="30"/>
    </row>
    <row r="53" spans="2:33" ht="18" x14ac:dyDescent="0.25">
      <c r="B53" s="110" t="s">
        <v>470</v>
      </c>
      <c r="C53" s="115" t="s">
        <v>695</v>
      </c>
      <c r="D53" s="112" t="s">
        <v>475</v>
      </c>
      <c r="E53" s="113" t="s">
        <v>472</v>
      </c>
      <c r="F53" s="113">
        <v>4</v>
      </c>
      <c r="G53" s="265">
        <v>0.2</v>
      </c>
      <c r="H53" s="114">
        <v>84000</v>
      </c>
      <c r="I53" s="129">
        <f t="shared" si="23"/>
        <v>336000</v>
      </c>
      <c r="J53" s="343">
        <f>+K53-'Jerarq. Riesgos Plazo'!$K$77*'Aplicación proyecto BD'!K53</f>
        <v>0.18</v>
      </c>
      <c r="K53" s="4">
        <v>0.2</v>
      </c>
      <c r="L53" s="202">
        <f>+K53*('Jerarq. Riesgos Plazo'!$L$77+1)</f>
        <v>0.31661350927590215</v>
      </c>
      <c r="M53" s="64">
        <f>+N53*(-'Jerarq. Riesgos Costos'!$J$72+1)</f>
        <v>268800</v>
      </c>
      <c r="N53" s="203">
        <f t="shared" si="18"/>
        <v>336000</v>
      </c>
      <c r="O53" s="49">
        <f>+N53*('Jerarq. Riesgos Costos'!$K$72+1)</f>
        <v>464936.85635668453</v>
      </c>
      <c r="P53" s="64">
        <f>+Q53-Q53*'Jerarq. Riesgos Plazo'!$Q$77</f>
        <v>0.18</v>
      </c>
      <c r="Q53" s="4">
        <f t="shared" si="13"/>
        <v>0.2</v>
      </c>
      <c r="R53" s="264">
        <f>+Q53+Q53*'Jerarq. Riesgos Plazo'!$R$77</f>
        <v>0.28071711523373433</v>
      </c>
      <c r="S53" s="38">
        <f>+T53*(-'Jerarq. Riesgos Costos'!$P$72+1)</f>
        <v>268800</v>
      </c>
      <c r="T53" s="203">
        <f t="shared" si="17"/>
        <v>336000</v>
      </c>
      <c r="U53" s="34">
        <f>+T53*('Jerarq. Riesgos Costos'!$Q$72+1)</f>
        <v>445187.42542673793</v>
      </c>
      <c r="V53" s="29"/>
      <c r="W53" s="4">
        <v>0.2</v>
      </c>
      <c r="X53" s="256">
        <f>+W53*('Jerarq. Riesgos Plazo'!$M$65/100+1)</f>
        <v>0.20023907379964415</v>
      </c>
      <c r="Y53" s="29"/>
      <c r="Z53" s="4"/>
      <c r="AA53" s="30"/>
      <c r="AB53" s="29"/>
      <c r="AC53" s="4">
        <v>0.2</v>
      </c>
      <c r="AD53" s="256">
        <f>+AC53*('Jerarq. Riesgos Plazo'!$M$65/100+1)</f>
        <v>0.20023907379964415</v>
      </c>
      <c r="AE53" s="29"/>
      <c r="AF53" s="4"/>
      <c r="AG53" s="30"/>
    </row>
    <row r="54" spans="2:33" ht="18" x14ac:dyDescent="0.25">
      <c r="B54" s="110" t="s">
        <v>470</v>
      </c>
      <c r="C54" s="115" t="s">
        <v>696</v>
      </c>
      <c r="D54" s="112" t="s">
        <v>476</v>
      </c>
      <c r="E54" s="113" t="s">
        <v>453</v>
      </c>
      <c r="F54" s="113">
        <v>12</v>
      </c>
      <c r="G54" s="265">
        <v>0.3</v>
      </c>
      <c r="H54" s="114">
        <v>75000</v>
      </c>
      <c r="I54" s="129">
        <f t="shared" si="23"/>
        <v>900000</v>
      </c>
      <c r="J54" s="343">
        <f>+K54-'Jerarq. Riesgos Plazo'!$K$77*'Aplicación proyecto BD'!K54</f>
        <v>0.27</v>
      </c>
      <c r="K54" s="4">
        <v>0.3</v>
      </c>
      <c r="L54" s="202">
        <f>+K54*('Jerarq. Riesgos Plazo'!$L$77+1)</f>
        <v>0.47492026391385311</v>
      </c>
      <c r="M54" s="64">
        <f>+N54*(-'Jerarq. Riesgos Costos'!$J$72+1)</f>
        <v>720000</v>
      </c>
      <c r="N54" s="203">
        <f t="shared" si="18"/>
        <v>900000</v>
      </c>
      <c r="O54" s="49">
        <f>+N54*('Jerarq. Riesgos Costos'!$K$72+1)</f>
        <v>1245366.5795268335</v>
      </c>
      <c r="P54" s="64">
        <f>+Q54-Q54*'Jerarq. Riesgos Plazo'!$Q$77</f>
        <v>0.27</v>
      </c>
      <c r="Q54" s="4">
        <f t="shared" si="13"/>
        <v>0.3</v>
      </c>
      <c r="R54" s="264">
        <f>+Q54+Q54*'Jerarq. Riesgos Plazo'!$R$77</f>
        <v>0.42107567285060143</v>
      </c>
      <c r="S54" s="38">
        <f>+T54*(-'Jerarq. Riesgos Costos'!$P$72+1)</f>
        <v>720000</v>
      </c>
      <c r="T54" s="203">
        <f t="shared" si="17"/>
        <v>900000</v>
      </c>
      <c r="U54" s="34">
        <f>+T54*('Jerarq. Riesgos Costos'!$Q$72+1)</f>
        <v>1192466.3181073337</v>
      </c>
      <c r="V54" s="29"/>
      <c r="W54" s="4">
        <v>0.3</v>
      </c>
      <c r="X54" s="256">
        <f>+W54*('Jerarq. Riesgos Plazo'!$M$65/100+1)</f>
        <v>0.30035861069946618</v>
      </c>
      <c r="Y54" s="29"/>
      <c r="Z54" s="4"/>
      <c r="AA54" s="30"/>
      <c r="AB54" s="29"/>
      <c r="AC54" s="4">
        <v>0.3</v>
      </c>
      <c r="AD54" s="256">
        <f>+AC54*('Jerarq. Riesgos Plazo'!$M$65/100+1)</f>
        <v>0.30035861069946618</v>
      </c>
      <c r="AE54" s="29"/>
      <c r="AF54" s="4"/>
      <c r="AG54" s="30"/>
    </row>
    <row r="55" spans="2:33" ht="18" x14ac:dyDescent="0.25">
      <c r="B55" s="110" t="s">
        <v>470</v>
      </c>
      <c r="C55" s="115" t="s">
        <v>697</v>
      </c>
      <c r="D55" s="112" t="s">
        <v>477</v>
      </c>
      <c r="E55" s="113" t="s">
        <v>453</v>
      </c>
      <c r="F55" s="113">
        <v>1</v>
      </c>
      <c r="G55" s="265">
        <v>0.3</v>
      </c>
      <c r="H55" s="114">
        <v>150000</v>
      </c>
      <c r="I55" s="129">
        <f t="shared" si="23"/>
        <v>150000</v>
      </c>
      <c r="J55" s="343">
        <f>+K55-'Jerarq. Riesgos Plazo'!$K$77*'Aplicación proyecto BD'!K55</f>
        <v>0.27</v>
      </c>
      <c r="K55" s="4">
        <v>0.3</v>
      </c>
      <c r="L55" s="202">
        <f>+K55*('Jerarq. Riesgos Plazo'!$L$77+1)</f>
        <v>0.47492026391385311</v>
      </c>
      <c r="M55" s="64">
        <f>+N55*(-'Jerarq. Riesgos Costos'!$J$72+1)</f>
        <v>120000</v>
      </c>
      <c r="N55" s="203">
        <f t="shared" si="18"/>
        <v>150000</v>
      </c>
      <c r="O55" s="49">
        <f>+N55*('Jerarq. Riesgos Costos'!$K$72+1)</f>
        <v>207561.09658780557</v>
      </c>
      <c r="P55" s="64">
        <f>+Q55-Q55*'Jerarq. Riesgos Plazo'!$Q$77</f>
        <v>0.27</v>
      </c>
      <c r="Q55" s="4">
        <f t="shared" si="13"/>
        <v>0.3</v>
      </c>
      <c r="R55" s="264">
        <f>+Q55+Q55*'Jerarq. Riesgos Plazo'!$R$77</f>
        <v>0.42107567285060143</v>
      </c>
      <c r="S55" s="38">
        <f>+T55*(-'Jerarq. Riesgos Costos'!$P$72+1)</f>
        <v>120000</v>
      </c>
      <c r="T55" s="203">
        <f t="shared" si="17"/>
        <v>150000</v>
      </c>
      <c r="U55" s="34">
        <f>+T55*('Jerarq. Riesgos Costos'!$Q$72+1)</f>
        <v>198744.38635122229</v>
      </c>
      <c r="V55" s="29"/>
      <c r="W55" s="4">
        <v>0.3</v>
      </c>
      <c r="X55" s="256">
        <f>+W55*('Jerarq. Riesgos Plazo'!$M$65/100+1)</f>
        <v>0.30035861069946618</v>
      </c>
      <c r="Y55" s="29"/>
      <c r="Z55" s="4"/>
      <c r="AA55" s="30"/>
      <c r="AB55" s="29"/>
      <c r="AC55" s="4">
        <v>0.3</v>
      </c>
      <c r="AD55" s="256">
        <f>+AC55*('Jerarq. Riesgos Plazo'!$M$65/100+1)</f>
        <v>0.30035861069946618</v>
      </c>
      <c r="AE55" s="29"/>
      <c r="AF55" s="4"/>
      <c r="AG55" s="30"/>
    </row>
    <row r="56" spans="2:33" ht="18" x14ac:dyDescent="0.25">
      <c r="B56" s="110" t="s">
        <v>470</v>
      </c>
      <c r="C56" s="115" t="s">
        <v>698</v>
      </c>
      <c r="D56" s="112" t="s">
        <v>478</v>
      </c>
      <c r="E56" s="113" t="s">
        <v>453</v>
      </c>
      <c r="F56" s="113">
        <v>5</v>
      </c>
      <c r="G56" s="265">
        <v>0.7</v>
      </c>
      <c r="H56" s="114">
        <v>432250</v>
      </c>
      <c r="I56" s="129">
        <f t="shared" si="23"/>
        <v>2161250</v>
      </c>
      <c r="J56" s="343">
        <f>+K56-'Jerarq. Riesgos Plazo'!$K$77*'Aplicación proyecto BD'!K56</f>
        <v>0.63</v>
      </c>
      <c r="K56" s="4">
        <v>0.7</v>
      </c>
      <c r="L56" s="202">
        <f>+K56*('Jerarq. Riesgos Plazo'!$L$77+1)</f>
        <v>1.1081472824656573</v>
      </c>
      <c r="M56" s="64">
        <f>+N56*(-'Jerarq. Riesgos Costos'!$J$72+1)</f>
        <v>1729000</v>
      </c>
      <c r="N56" s="203">
        <f t="shared" si="18"/>
        <v>2161250</v>
      </c>
      <c r="O56" s="49">
        <f>+N56*('Jerarq. Riesgos Costos'!$K$72+1)</f>
        <v>2990609.4666692987</v>
      </c>
      <c r="P56" s="64">
        <f>+Q56-Q56*'Jerarq. Riesgos Plazo'!$Q$77</f>
        <v>0.63</v>
      </c>
      <c r="Q56" s="4">
        <f t="shared" si="13"/>
        <v>0.7</v>
      </c>
      <c r="R56" s="264">
        <f>+Q56+Q56*'Jerarq. Riesgos Plazo'!$R$77</f>
        <v>0.98250990331806998</v>
      </c>
      <c r="S56" s="38">
        <f>+T56*(-'Jerarq. Riesgos Costos'!$P$72+1)</f>
        <v>1729000</v>
      </c>
      <c r="T56" s="203">
        <f t="shared" si="17"/>
        <v>2161250</v>
      </c>
      <c r="U56" s="34">
        <f>+T56*('Jerarq. Riesgos Costos'!$Q$72+1)</f>
        <v>2863575.3666771948</v>
      </c>
      <c r="V56" s="29"/>
      <c r="W56" s="4">
        <v>0.7</v>
      </c>
      <c r="X56" s="256">
        <f>+W56*('Jerarq. Riesgos Plazo'!$M$65/100+1)</f>
        <v>0.70083675829875447</v>
      </c>
      <c r="Y56" s="29"/>
      <c r="Z56" s="4"/>
      <c r="AA56" s="30"/>
      <c r="AB56" s="29"/>
      <c r="AC56" s="4">
        <v>0.7</v>
      </c>
      <c r="AD56" s="256">
        <f>+AC56*('Jerarq. Riesgos Plazo'!$M$65/100+1)</f>
        <v>0.70083675829875447</v>
      </c>
      <c r="AE56" s="29"/>
      <c r="AF56" s="4"/>
      <c r="AG56" s="30"/>
    </row>
    <row r="57" spans="2:33" ht="18" x14ac:dyDescent="0.25">
      <c r="B57" s="110" t="s">
        <v>470</v>
      </c>
      <c r="C57" s="115" t="s">
        <v>699</v>
      </c>
      <c r="D57" s="112" t="s">
        <v>658</v>
      </c>
      <c r="E57" s="113" t="s">
        <v>453</v>
      </c>
      <c r="F57" s="113">
        <v>1</v>
      </c>
      <c r="G57" s="265">
        <v>0.2</v>
      </c>
      <c r="H57" s="114">
        <v>300000</v>
      </c>
      <c r="I57" s="129">
        <f t="shared" si="23"/>
        <v>300000</v>
      </c>
      <c r="J57" s="343">
        <f>+K57-'Jerarq. Riesgos Plazo'!$K$77*'Aplicación proyecto BD'!K57</f>
        <v>0.18</v>
      </c>
      <c r="K57" s="4">
        <v>0.2</v>
      </c>
      <c r="L57" s="202">
        <f>+K57*('Jerarq. Riesgos Plazo'!$L$77+1)</f>
        <v>0.31661350927590215</v>
      </c>
      <c r="M57" s="64">
        <f>+N57*(-'Jerarq. Riesgos Costos'!$J$72+1)</f>
        <v>240000</v>
      </c>
      <c r="N57" s="203">
        <f t="shared" si="18"/>
        <v>300000</v>
      </c>
      <c r="O57" s="49">
        <f>+N57*('Jerarq. Riesgos Costos'!$K$72+1)</f>
        <v>415122.19317561114</v>
      </c>
      <c r="P57" s="64">
        <f>+Q57-Q57*'Jerarq. Riesgos Plazo'!$Q$77</f>
        <v>0.18</v>
      </c>
      <c r="Q57" s="4">
        <f t="shared" si="13"/>
        <v>0.2</v>
      </c>
      <c r="R57" s="264">
        <f>+Q57+Q57*'Jerarq. Riesgos Plazo'!$R$77</f>
        <v>0.28071711523373433</v>
      </c>
      <c r="S57" s="38">
        <f>+T57*(-'Jerarq. Riesgos Costos'!$P$72+1)</f>
        <v>240000</v>
      </c>
      <c r="T57" s="203">
        <f t="shared" si="17"/>
        <v>300000</v>
      </c>
      <c r="U57" s="34">
        <f>+T57*('Jerarq. Riesgos Costos'!$Q$72+1)</f>
        <v>397488.77270244458</v>
      </c>
      <c r="V57" s="29"/>
      <c r="W57" s="4">
        <v>0.2</v>
      </c>
      <c r="X57" s="256">
        <f>+W57*('Jerarq. Riesgos Plazo'!$M$65/100+1)</f>
        <v>0.20023907379964415</v>
      </c>
      <c r="Y57" s="29"/>
      <c r="Z57" s="4"/>
      <c r="AA57" s="30"/>
      <c r="AB57" s="29"/>
      <c r="AC57" s="4">
        <v>0.2</v>
      </c>
      <c r="AD57" s="256">
        <f>+AC57*('Jerarq. Riesgos Plazo'!$M$65/100+1)</f>
        <v>0.20023907379964415</v>
      </c>
      <c r="AE57" s="29"/>
      <c r="AF57" s="4"/>
      <c r="AG57" s="30"/>
    </row>
    <row r="58" spans="2:33" ht="18" x14ac:dyDescent="0.25">
      <c r="B58" s="110" t="s">
        <v>470</v>
      </c>
      <c r="C58" s="115" t="s">
        <v>700</v>
      </c>
      <c r="D58" s="112" t="s">
        <v>479</v>
      </c>
      <c r="E58" s="113" t="s">
        <v>453</v>
      </c>
      <c r="F58" s="113">
        <v>1</v>
      </c>
      <c r="G58" s="265">
        <v>0.4</v>
      </c>
      <c r="H58" s="114">
        <v>2600000</v>
      </c>
      <c r="I58" s="129">
        <f t="shared" si="23"/>
        <v>2600000</v>
      </c>
      <c r="J58" s="343">
        <f>+K58-'Jerarq. Riesgos Plazo'!$K$77*'Aplicación proyecto BD'!K58</f>
        <v>0.36</v>
      </c>
      <c r="K58" s="4">
        <v>0.4</v>
      </c>
      <c r="L58" s="202">
        <f>+K58*('Jerarq. Riesgos Plazo'!$L$77+1)</f>
        <v>0.6332270185518043</v>
      </c>
      <c r="M58" s="64">
        <f>+N58*(-'Jerarq. Riesgos Costos'!$J$72+1)</f>
        <v>2080000</v>
      </c>
      <c r="N58" s="203">
        <f t="shared" si="18"/>
        <v>2600000</v>
      </c>
      <c r="O58" s="49">
        <f>+N58*('Jerarq. Riesgos Costos'!$K$72+1)</f>
        <v>3597725.6741886302</v>
      </c>
      <c r="P58" s="64">
        <f>+Q58-Q58*'Jerarq. Riesgos Plazo'!$Q$77</f>
        <v>0.36</v>
      </c>
      <c r="Q58" s="4">
        <f t="shared" si="13"/>
        <v>0.4</v>
      </c>
      <c r="R58" s="264">
        <f>+Q58+Q58*'Jerarq. Riesgos Plazo'!$R$77</f>
        <v>0.56143423046746865</v>
      </c>
      <c r="S58" s="38">
        <f>+T58*(-'Jerarq. Riesgos Costos'!$P$72+1)</f>
        <v>2080000</v>
      </c>
      <c r="T58" s="203">
        <f t="shared" si="17"/>
        <v>2600000</v>
      </c>
      <c r="U58" s="34">
        <f>+T58*('Jerarq. Riesgos Costos'!$Q$72+1)</f>
        <v>3444902.6967545198</v>
      </c>
      <c r="V58" s="29"/>
      <c r="W58" s="4">
        <v>0.4</v>
      </c>
      <c r="X58" s="256">
        <f>+W58*('Jerarq. Riesgos Plazo'!$M$65/100+1)</f>
        <v>0.40047814759928829</v>
      </c>
      <c r="Y58" s="29"/>
      <c r="Z58" s="4"/>
      <c r="AA58" s="30"/>
      <c r="AB58" s="29"/>
      <c r="AC58" s="4">
        <v>0.4</v>
      </c>
      <c r="AD58" s="256">
        <f>+AC58*('Jerarq. Riesgos Plazo'!$M$65/100+1)</f>
        <v>0.40047814759928829</v>
      </c>
      <c r="AE58" s="29"/>
      <c r="AF58" s="4"/>
      <c r="AG58" s="30"/>
    </row>
    <row r="59" spans="2:33" ht="18" x14ac:dyDescent="0.25">
      <c r="B59" s="110" t="s">
        <v>470</v>
      </c>
      <c r="C59" s="115" t="s">
        <v>701</v>
      </c>
      <c r="D59" s="112" t="s">
        <v>480</v>
      </c>
      <c r="E59" s="113" t="s">
        <v>453</v>
      </c>
      <c r="F59" s="113">
        <v>1</v>
      </c>
      <c r="G59" s="265">
        <v>0.4</v>
      </c>
      <c r="H59" s="114">
        <v>7425000</v>
      </c>
      <c r="I59" s="129">
        <f t="shared" si="23"/>
        <v>7425000</v>
      </c>
      <c r="J59" s="343">
        <f>+K59-'Jerarq. Riesgos Plazo'!$K$77*'Aplicación proyecto BD'!K59</f>
        <v>0.36</v>
      </c>
      <c r="K59" s="4">
        <v>0.4</v>
      </c>
      <c r="L59" s="202">
        <f>+K59*('Jerarq. Riesgos Plazo'!$L$77+1)</f>
        <v>0.6332270185518043</v>
      </c>
      <c r="M59" s="64">
        <f>+N59*(-'Jerarq. Riesgos Costos'!$J$72+1)</f>
        <v>5940000</v>
      </c>
      <c r="N59" s="203">
        <f t="shared" si="18"/>
        <v>7425000</v>
      </c>
      <c r="O59" s="49">
        <f>+N59*('Jerarq. Riesgos Costos'!$K$72+1)</f>
        <v>10274274.281096376</v>
      </c>
      <c r="P59" s="64">
        <f>+Q59-Q59*'Jerarq. Riesgos Plazo'!$Q$77</f>
        <v>0.36</v>
      </c>
      <c r="Q59" s="4">
        <f t="shared" si="13"/>
        <v>0.4</v>
      </c>
      <c r="R59" s="264">
        <f>+Q59+Q59*'Jerarq. Riesgos Plazo'!$R$77</f>
        <v>0.56143423046746865</v>
      </c>
      <c r="S59" s="38">
        <f>+T59*(-'Jerarq. Riesgos Costos'!$P$72+1)</f>
        <v>5940000</v>
      </c>
      <c r="T59" s="203">
        <f t="shared" si="17"/>
        <v>7425000</v>
      </c>
      <c r="U59" s="34">
        <f>+T59*('Jerarq. Riesgos Costos'!$Q$72+1)</f>
        <v>9837847.1243855041</v>
      </c>
      <c r="V59" s="29"/>
      <c r="W59" s="4">
        <v>0.4</v>
      </c>
      <c r="X59" s="256">
        <f>+W59*('Jerarq. Riesgos Plazo'!$M$65/100+1)</f>
        <v>0.40047814759928829</v>
      </c>
      <c r="Y59" s="29"/>
      <c r="Z59" s="4"/>
      <c r="AA59" s="30"/>
      <c r="AB59" s="29"/>
      <c r="AC59" s="4">
        <v>0.4</v>
      </c>
      <c r="AD59" s="256">
        <f>+AC59*('Jerarq. Riesgos Plazo'!$M$65/100+1)</f>
        <v>0.40047814759928829</v>
      </c>
      <c r="AE59" s="29"/>
      <c r="AF59" s="4"/>
      <c r="AG59" s="30"/>
    </row>
    <row r="60" spans="2:33" ht="18" x14ac:dyDescent="0.25">
      <c r="B60" s="110" t="s">
        <v>470</v>
      </c>
      <c r="C60" s="115" t="s">
        <v>702</v>
      </c>
      <c r="D60" s="112" t="s">
        <v>481</v>
      </c>
      <c r="E60" s="113" t="s">
        <v>453</v>
      </c>
      <c r="F60" s="113">
        <v>34</v>
      </c>
      <c r="G60" s="265">
        <v>4</v>
      </c>
      <c r="H60" s="114">
        <v>122000</v>
      </c>
      <c r="I60" s="129">
        <f t="shared" si="23"/>
        <v>4148000</v>
      </c>
      <c r="J60" s="343">
        <f>+K60-'Jerarq. Riesgos Plazo'!$K$77*'Aplicación proyecto BD'!K60</f>
        <v>3.6</v>
      </c>
      <c r="K60" s="4">
        <v>4</v>
      </c>
      <c r="L60" s="202">
        <f>+K60*('Jerarq. Riesgos Plazo'!$L$77+1)</f>
        <v>6.3322701855180421</v>
      </c>
      <c r="M60" s="64">
        <f>+N60*(-'Jerarq. Riesgos Costos'!$J$72+1)</f>
        <v>3318400</v>
      </c>
      <c r="N60" s="203">
        <f t="shared" si="18"/>
        <v>4148000</v>
      </c>
      <c r="O60" s="49">
        <f>+N60*('Jerarq. Riesgos Costos'!$K$72+1)</f>
        <v>5739756.1909747841</v>
      </c>
      <c r="P60" s="64">
        <f>+Q60-Q60*'Jerarq. Riesgos Plazo'!$Q$77</f>
        <v>3.6</v>
      </c>
      <c r="Q60" s="4">
        <f t="shared" si="13"/>
        <v>4</v>
      </c>
      <c r="R60" s="264">
        <f>+Q60+Q60*'Jerarq. Riesgos Plazo'!$R$77</f>
        <v>5.6143423046746861</v>
      </c>
      <c r="S60" s="38">
        <f>+T60*(-'Jerarq. Riesgos Costos'!$P$72+1)</f>
        <v>3318400</v>
      </c>
      <c r="T60" s="203">
        <f t="shared" si="17"/>
        <v>4148000</v>
      </c>
      <c r="U60" s="34">
        <f>+T60*('Jerarq. Riesgos Costos'!$Q$72+1)</f>
        <v>5495944.7638991345</v>
      </c>
      <c r="V60" s="29"/>
      <c r="W60" s="4">
        <v>4</v>
      </c>
      <c r="X60" s="256">
        <f>+W60*('Jerarq. Riesgos Plazo'!$M$65/100+1)</f>
        <v>4.0047814759928828</v>
      </c>
      <c r="Y60" s="29"/>
      <c r="Z60" s="4"/>
      <c r="AA60" s="30"/>
      <c r="AB60" s="29"/>
      <c r="AC60" s="4">
        <v>4</v>
      </c>
      <c r="AD60" s="256">
        <f>+AC60*('Jerarq. Riesgos Plazo'!$M$65/100+1)</f>
        <v>4.0047814759928828</v>
      </c>
      <c r="AE60" s="29"/>
      <c r="AF60" s="4"/>
      <c r="AG60" s="30"/>
    </row>
    <row r="61" spans="2:33" ht="18" x14ac:dyDescent="0.25">
      <c r="B61" s="110" t="s">
        <v>470</v>
      </c>
      <c r="C61" s="115" t="s">
        <v>703</v>
      </c>
      <c r="D61" s="112" t="s">
        <v>659</v>
      </c>
      <c r="E61" s="113" t="s">
        <v>453</v>
      </c>
      <c r="F61" s="113">
        <v>2</v>
      </c>
      <c r="G61" s="265">
        <v>0.2</v>
      </c>
      <c r="H61" s="114">
        <v>115900</v>
      </c>
      <c r="I61" s="129">
        <f t="shared" si="23"/>
        <v>231800</v>
      </c>
      <c r="J61" s="343">
        <f>+K61-'Jerarq. Riesgos Plazo'!$K$77*'Aplicación proyecto BD'!K61</f>
        <v>0.18</v>
      </c>
      <c r="K61" s="4">
        <v>0.2</v>
      </c>
      <c r="L61" s="202">
        <f>+K61*('Jerarq. Riesgos Plazo'!$L$77+1)</f>
        <v>0.31661350927590215</v>
      </c>
      <c r="M61" s="64">
        <f>+N61*(-'Jerarq. Riesgos Costos'!$J$72+1)</f>
        <v>185440</v>
      </c>
      <c r="N61" s="203">
        <f t="shared" si="18"/>
        <v>231800</v>
      </c>
      <c r="O61" s="49">
        <f>+N61*('Jerarq. Riesgos Costos'!$K$72+1)</f>
        <v>320751.08126035554</v>
      </c>
      <c r="P61" s="64">
        <f>+Q61-Q61*'Jerarq. Riesgos Plazo'!$Q$77</f>
        <v>0.18</v>
      </c>
      <c r="Q61" s="4">
        <f t="shared" si="13"/>
        <v>0.2</v>
      </c>
      <c r="R61" s="264">
        <f>+Q61+Q61*'Jerarq. Riesgos Plazo'!$R$77</f>
        <v>0.28071711523373433</v>
      </c>
      <c r="S61" s="38">
        <f>+T61*(-'Jerarq. Riesgos Costos'!$P$72+1)</f>
        <v>185440</v>
      </c>
      <c r="T61" s="203">
        <f t="shared" si="17"/>
        <v>231800</v>
      </c>
      <c r="U61" s="34">
        <f>+T61*('Jerarq. Riesgos Costos'!$Q$72+1)</f>
        <v>307126.32504142221</v>
      </c>
      <c r="V61" s="29"/>
      <c r="W61" s="4">
        <v>0.2</v>
      </c>
      <c r="X61" s="256">
        <f>+W61*('Jerarq. Riesgos Plazo'!$M$65/100+1)</f>
        <v>0.20023907379964415</v>
      </c>
      <c r="Y61" s="29"/>
      <c r="Z61" s="4"/>
      <c r="AA61" s="30"/>
      <c r="AB61" s="29"/>
      <c r="AC61" s="4">
        <v>0.2</v>
      </c>
      <c r="AD61" s="256">
        <f>+AC61*('Jerarq. Riesgos Plazo'!$M$65/100+1)</f>
        <v>0.20023907379964415</v>
      </c>
      <c r="AE61" s="29"/>
      <c r="AF61" s="4"/>
      <c r="AG61" s="30"/>
    </row>
    <row r="62" spans="2:33" ht="18" x14ac:dyDescent="0.25">
      <c r="B62" s="110" t="s">
        <v>470</v>
      </c>
      <c r="C62" s="115" t="s">
        <v>704</v>
      </c>
      <c r="D62" s="112" t="s">
        <v>660</v>
      </c>
      <c r="E62" s="113" t="s">
        <v>453</v>
      </c>
      <c r="F62" s="113">
        <v>17</v>
      </c>
      <c r="G62" s="265">
        <v>0.1</v>
      </c>
      <c r="H62" s="114">
        <v>18300</v>
      </c>
      <c r="I62" s="129">
        <f t="shared" si="23"/>
        <v>311100</v>
      </c>
      <c r="J62" s="343">
        <f>+K62-'Jerarq. Riesgos Plazo'!$K$77*'Aplicación proyecto BD'!K62</f>
        <v>0.09</v>
      </c>
      <c r="K62" s="4">
        <v>0.1</v>
      </c>
      <c r="L62" s="202">
        <f>+K62*('Jerarq. Riesgos Plazo'!$L$77+1)</f>
        <v>0.15830675463795107</v>
      </c>
      <c r="M62" s="64">
        <f>+N62*(-'Jerarq. Riesgos Costos'!$J$72+1)</f>
        <v>248880</v>
      </c>
      <c r="N62" s="203">
        <f t="shared" si="18"/>
        <v>311100</v>
      </c>
      <c r="O62" s="49">
        <f>+N62*('Jerarq. Riesgos Costos'!$K$72+1)</f>
        <v>430481.71432310878</v>
      </c>
      <c r="P62" s="64">
        <f>+Q62-Q62*'Jerarq. Riesgos Plazo'!$Q$77</f>
        <v>0.09</v>
      </c>
      <c r="Q62" s="4">
        <f t="shared" si="13"/>
        <v>0.1</v>
      </c>
      <c r="R62" s="264">
        <f>+Q62+Q62*'Jerarq. Riesgos Plazo'!$R$77</f>
        <v>0.14035855761686716</v>
      </c>
      <c r="S62" s="38">
        <f>+T62*(-'Jerarq. Riesgos Costos'!$P$72+1)</f>
        <v>248880</v>
      </c>
      <c r="T62" s="203">
        <f t="shared" si="17"/>
        <v>311100</v>
      </c>
      <c r="U62" s="34">
        <f>+T62*('Jerarq. Riesgos Costos'!$Q$72+1)</f>
        <v>412195.85729243507</v>
      </c>
      <c r="V62" s="29"/>
      <c r="W62" s="4">
        <v>0.1</v>
      </c>
      <c r="X62" s="256">
        <f>+W62*('Jerarq. Riesgos Plazo'!$M$65/100+1)</f>
        <v>0.10011953689982207</v>
      </c>
      <c r="Y62" s="29"/>
      <c r="Z62" s="4"/>
      <c r="AA62" s="30"/>
      <c r="AB62" s="29"/>
      <c r="AC62" s="4">
        <v>0.1</v>
      </c>
      <c r="AD62" s="256">
        <f>+AC62*('Jerarq. Riesgos Plazo'!$M$65/100+1)</f>
        <v>0.10011953689982207</v>
      </c>
      <c r="AE62" s="29"/>
      <c r="AF62" s="4"/>
      <c r="AG62" s="30"/>
    </row>
    <row r="63" spans="2:33" ht="18" x14ac:dyDescent="0.25">
      <c r="B63" s="110" t="s">
        <v>470</v>
      </c>
      <c r="C63" s="115" t="s">
        <v>705</v>
      </c>
      <c r="D63" s="112" t="s">
        <v>482</v>
      </c>
      <c r="E63" s="113" t="s">
        <v>453</v>
      </c>
      <c r="F63" s="113">
        <v>51</v>
      </c>
      <c r="G63" s="265">
        <v>0.2</v>
      </c>
      <c r="H63" s="114">
        <v>18300</v>
      </c>
      <c r="I63" s="129">
        <f t="shared" si="23"/>
        <v>933300</v>
      </c>
      <c r="J63" s="343">
        <f>+K63-'Jerarq. Riesgos Plazo'!$K$77*'Aplicación proyecto BD'!K63</f>
        <v>0.18</v>
      </c>
      <c r="K63" s="4">
        <v>0.2</v>
      </c>
      <c r="L63" s="202">
        <f>+K63*('Jerarq. Riesgos Plazo'!$L$77+1)</f>
        <v>0.31661350927590215</v>
      </c>
      <c r="M63" s="64">
        <f>+N63*(-'Jerarq. Riesgos Costos'!$J$72+1)</f>
        <v>746640</v>
      </c>
      <c r="N63" s="203">
        <f t="shared" si="18"/>
        <v>933300</v>
      </c>
      <c r="O63" s="49">
        <f>+N63*('Jerarq. Riesgos Costos'!$K$72+1)</f>
        <v>1291445.1429693263</v>
      </c>
      <c r="P63" s="64">
        <f>+Q63-Q63*'Jerarq. Riesgos Plazo'!$Q$77</f>
        <v>0.18</v>
      </c>
      <c r="Q63" s="4">
        <f t="shared" si="13"/>
        <v>0.2</v>
      </c>
      <c r="R63" s="264">
        <f>+Q63+Q63*'Jerarq. Riesgos Plazo'!$R$77</f>
        <v>0.28071711523373433</v>
      </c>
      <c r="S63" s="38">
        <f>+T63*(-'Jerarq. Riesgos Costos'!$P$72+1)</f>
        <v>746640</v>
      </c>
      <c r="T63" s="203">
        <f t="shared" si="17"/>
        <v>933300</v>
      </c>
      <c r="U63" s="34">
        <f>+T63*('Jerarq. Riesgos Costos'!$Q$72+1)</f>
        <v>1236587.5718773052</v>
      </c>
      <c r="V63" s="29"/>
      <c r="W63" s="4">
        <v>0.2</v>
      </c>
      <c r="X63" s="256">
        <f>+W63*('Jerarq. Riesgos Plazo'!$M$65/100+1)</f>
        <v>0.20023907379964415</v>
      </c>
      <c r="Y63" s="29"/>
      <c r="Z63" s="4"/>
      <c r="AA63" s="30"/>
      <c r="AB63" s="29"/>
      <c r="AC63" s="4">
        <v>0.2</v>
      </c>
      <c r="AD63" s="256">
        <f>+AC63*('Jerarq. Riesgos Plazo'!$M$65/100+1)</f>
        <v>0.20023907379964415</v>
      </c>
      <c r="AE63" s="29"/>
      <c r="AF63" s="4"/>
      <c r="AG63" s="30"/>
    </row>
    <row r="64" spans="2:33" ht="18" x14ac:dyDescent="0.25">
      <c r="B64" s="110" t="s">
        <v>470</v>
      </c>
      <c r="C64" s="115" t="s">
        <v>706</v>
      </c>
      <c r="D64" s="112" t="s">
        <v>483</v>
      </c>
      <c r="E64" s="113" t="s">
        <v>453</v>
      </c>
      <c r="F64" s="113">
        <v>13</v>
      </c>
      <c r="G64" s="265">
        <v>0.3</v>
      </c>
      <c r="H64" s="114">
        <v>152500</v>
      </c>
      <c r="I64" s="129">
        <f t="shared" si="23"/>
        <v>1982500</v>
      </c>
      <c r="J64" s="343">
        <f>+K64-'Jerarq. Riesgos Plazo'!$K$77*'Aplicación proyecto BD'!K64</f>
        <v>0.27</v>
      </c>
      <c r="K64" s="4">
        <v>0.3</v>
      </c>
      <c r="L64" s="202">
        <f>+K64*('Jerarq. Riesgos Plazo'!$L$77+1)</f>
        <v>0.47492026391385311</v>
      </c>
      <c r="M64" s="64">
        <f>+N64*(-'Jerarq. Riesgos Costos'!$J$72+1)</f>
        <v>1586000</v>
      </c>
      <c r="N64" s="203">
        <f t="shared" si="18"/>
        <v>1982500</v>
      </c>
      <c r="O64" s="49">
        <f>+N64*('Jerarq. Riesgos Costos'!$K$72+1)</f>
        <v>2743265.8265688303</v>
      </c>
      <c r="P64" s="64">
        <f>+Q64-Q64*'Jerarq. Riesgos Plazo'!$Q$77</f>
        <v>0.27</v>
      </c>
      <c r="Q64" s="4">
        <f t="shared" si="13"/>
        <v>0.3</v>
      </c>
      <c r="R64" s="264">
        <f>+Q64+Q64*'Jerarq. Riesgos Plazo'!$R$77</f>
        <v>0.42107567285060143</v>
      </c>
      <c r="S64" s="38">
        <f>+T64*(-'Jerarq. Riesgos Costos'!$P$72+1)</f>
        <v>1586000</v>
      </c>
      <c r="T64" s="203">
        <f t="shared" si="17"/>
        <v>1982500</v>
      </c>
      <c r="U64" s="34">
        <f>+T64*('Jerarq. Riesgos Costos'!$Q$72+1)</f>
        <v>2626738.3062753216</v>
      </c>
      <c r="V64" s="29"/>
      <c r="W64" s="4">
        <v>0.3</v>
      </c>
      <c r="X64" s="256">
        <f>+W64*('Jerarq. Riesgos Plazo'!$M$65/100+1)</f>
        <v>0.30035861069946618</v>
      </c>
      <c r="Y64" s="29"/>
      <c r="Z64" s="4"/>
      <c r="AA64" s="30"/>
      <c r="AB64" s="29"/>
      <c r="AC64" s="4">
        <v>0.3</v>
      </c>
      <c r="AD64" s="256">
        <f>+AC64*('Jerarq. Riesgos Plazo'!$M$65/100+1)</f>
        <v>0.30035861069946618</v>
      </c>
      <c r="AE64" s="29"/>
      <c r="AF64" s="4"/>
      <c r="AG64" s="30"/>
    </row>
    <row r="65" spans="2:33" ht="18" x14ac:dyDescent="0.25">
      <c r="B65" s="110" t="s">
        <v>470</v>
      </c>
      <c r="C65" s="115" t="s">
        <v>707</v>
      </c>
      <c r="D65" s="112" t="s">
        <v>484</v>
      </c>
      <c r="E65" s="113" t="s">
        <v>453</v>
      </c>
      <c r="F65" s="113">
        <v>68</v>
      </c>
      <c r="G65" s="265">
        <v>0.5</v>
      </c>
      <c r="H65" s="114">
        <v>15250</v>
      </c>
      <c r="I65" s="129">
        <f t="shared" si="23"/>
        <v>1037000</v>
      </c>
      <c r="J65" s="343">
        <f>+K65-'Jerarq. Riesgos Plazo'!$K$77*'Aplicación proyecto BD'!K65</f>
        <v>0.45</v>
      </c>
      <c r="K65" s="4">
        <v>0.5</v>
      </c>
      <c r="L65" s="202">
        <f>+K65*('Jerarq. Riesgos Plazo'!$L$77+1)</f>
        <v>0.79153377318975526</v>
      </c>
      <c r="M65" s="64">
        <f>+N65*(-'Jerarq. Riesgos Costos'!$J$72+1)</f>
        <v>829600</v>
      </c>
      <c r="N65" s="203">
        <f t="shared" si="18"/>
        <v>1037000</v>
      </c>
      <c r="O65" s="49">
        <f>+N65*('Jerarq. Riesgos Costos'!$K$72+1)</f>
        <v>1434939.047743696</v>
      </c>
      <c r="P65" s="64">
        <f>+Q65-Q65*'Jerarq. Riesgos Plazo'!$Q$77</f>
        <v>0.45</v>
      </c>
      <c r="Q65" s="4">
        <f t="shared" si="13"/>
        <v>0.5</v>
      </c>
      <c r="R65" s="264">
        <f>+Q65+Q65*'Jerarq. Riesgos Plazo'!$R$77</f>
        <v>0.70179278808433576</v>
      </c>
      <c r="S65" s="38">
        <f>+T65*(-'Jerarq. Riesgos Costos'!$P$72+1)</f>
        <v>829600</v>
      </c>
      <c r="T65" s="203">
        <f t="shared" si="17"/>
        <v>1037000</v>
      </c>
      <c r="U65" s="34">
        <f>+T65*('Jerarq. Riesgos Costos'!$Q$72+1)</f>
        <v>1373986.1909747836</v>
      </c>
      <c r="V65" s="29"/>
      <c r="W65" s="4">
        <v>0.5</v>
      </c>
      <c r="X65" s="256">
        <f>+W65*('Jerarq. Riesgos Plazo'!$M$65/100+1)</f>
        <v>0.50059768449911035</v>
      </c>
      <c r="Y65" s="29"/>
      <c r="Z65" s="4"/>
      <c r="AA65" s="30"/>
      <c r="AB65" s="29"/>
      <c r="AC65" s="4">
        <v>0.5</v>
      </c>
      <c r="AD65" s="256">
        <f>+AC65*('Jerarq. Riesgos Plazo'!$M$65/100+1)</f>
        <v>0.50059768449911035</v>
      </c>
      <c r="AE65" s="29"/>
      <c r="AF65" s="4"/>
      <c r="AG65" s="30"/>
    </row>
    <row r="66" spans="2:33" ht="18" x14ac:dyDescent="0.25">
      <c r="B66" s="110" t="s">
        <v>470</v>
      </c>
      <c r="C66" s="115" t="s">
        <v>708</v>
      </c>
      <c r="D66" s="112" t="s">
        <v>661</v>
      </c>
      <c r="E66" s="113" t="s">
        <v>453</v>
      </c>
      <c r="F66" s="113">
        <v>4</v>
      </c>
      <c r="G66" s="265">
        <v>2</v>
      </c>
      <c r="H66" s="114">
        <v>115900</v>
      </c>
      <c r="I66" s="129">
        <f t="shared" si="23"/>
        <v>463600</v>
      </c>
      <c r="J66" s="343">
        <f>+K66-'Jerarq. Riesgos Plazo'!$K$77*'Aplicación proyecto BD'!K66</f>
        <v>1.8</v>
      </c>
      <c r="K66" s="4">
        <v>2</v>
      </c>
      <c r="L66" s="202">
        <f>+K66*('Jerarq. Riesgos Plazo'!$L$77+1)</f>
        <v>3.1661350927590211</v>
      </c>
      <c r="M66" s="64">
        <f>+N66*(-'Jerarq. Riesgos Costos'!$J$72+1)</f>
        <v>370880</v>
      </c>
      <c r="N66" s="203">
        <f t="shared" si="18"/>
        <v>463600</v>
      </c>
      <c r="O66" s="49">
        <f>+N66*('Jerarq. Riesgos Costos'!$K$72+1)</f>
        <v>641502.16252071108</v>
      </c>
      <c r="P66" s="64">
        <f>+Q66-Q66*'Jerarq. Riesgos Plazo'!$Q$77</f>
        <v>1.8</v>
      </c>
      <c r="Q66" s="4">
        <f t="shared" si="13"/>
        <v>2</v>
      </c>
      <c r="R66" s="264">
        <f>+Q66+Q66*'Jerarq. Riesgos Plazo'!$R$77</f>
        <v>2.807171152337343</v>
      </c>
      <c r="S66" s="38">
        <f>+T66*(-'Jerarq. Riesgos Costos'!$P$72+1)</f>
        <v>370880</v>
      </c>
      <c r="T66" s="203">
        <f t="shared" si="17"/>
        <v>463600</v>
      </c>
      <c r="U66" s="34">
        <f>+T66*('Jerarq. Riesgos Costos'!$Q$72+1)</f>
        <v>614252.65008284443</v>
      </c>
      <c r="V66" s="29"/>
      <c r="W66" s="4">
        <v>2</v>
      </c>
      <c r="X66" s="256">
        <f>+W66*('Jerarq. Riesgos Plazo'!$M$65/100+1)</f>
        <v>2.0023907379964414</v>
      </c>
      <c r="Y66" s="29"/>
      <c r="Z66" s="4"/>
      <c r="AA66" s="30"/>
      <c r="AB66" s="29"/>
      <c r="AC66" s="4">
        <v>2</v>
      </c>
      <c r="AD66" s="256">
        <f>+AC66*('Jerarq. Riesgos Plazo'!$M$65/100+1)</f>
        <v>2.0023907379964414</v>
      </c>
      <c r="AE66" s="29"/>
      <c r="AF66" s="4"/>
      <c r="AG66" s="30"/>
    </row>
    <row r="67" spans="2:33" ht="18" x14ac:dyDescent="0.25">
      <c r="B67" s="110" t="s">
        <v>470</v>
      </c>
      <c r="C67" s="115" t="s">
        <v>709</v>
      </c>
      <c r="D67" s="112" t="s">
        <v>485</v>
      </c>
      <c r="E67" s="113" t="s">
        <v>472</v>
      </c>
      <c r="F67" s="113">
        <v>264</v>
      </c>
      <c r="G67" s="265">
        <v>2</v>
      </c>
      <c r="H67" s="114">
        <v>105000</v>
      </c>
      <c r="I67" s="129">
        <f t="shared" si="23"/>
        <v>27720000</v>
      </c>
      <c r="J67" s="343">
        <f>+K67-'Jerarq. Riesgos Plazo'!$K$77*'Aplicación proyecto BD'!K67</f>
        <v>1.8</v>
      </c>
      <c r="K67" s="4">
        <v>2</v>
      </c>
      <c r="L67" s="202">
        <f>+K67*('Jerarq. Riesgos Plazo'!$L$77+1)</f>
        <v>3.1661350927590211</v>
      </c>
      <c r="M67" s="64">
        <f>+N67*(-'Jerarq. Riesgos Costos'!$J$72+1)</f>
        <v>22176000</v>
      </c>
      <c r="N67" s="203">
        <f t="shared" si="18"/>
        <v>27720000</v>
      </c>
      <c r="O67" s="49">
        <f>+N67*('Jerarq. Riesgos Costos'!$K$72+1)</f>
        <v>38357290.649426475</v>
      </c>
      <c r="P67" s="64">
        <f>+Q67-Q67*'Jerarq. Riesgos Plazo'!$Q$77</f>
        <v>1.8</v>
      </c>
      <c r="Q67" s="4">
        <f t="shared" si="13"/>
        <v>2</v>
      </c>
      <c r="R67" s="264">
        <f>+Q67+Q67*'Jerarq. Riesgos Plazo'!$R$77</f>
        <v>2.807171152337343</v>
      </c>
      <c r="S67" s="38">
        <f>+T67*(-'Jerarq. Riesgos Costos'!$P$72+1)</f>
        <v>22176000</v>
      </c>
      <c r="T67" s="203">
        <f t="shared" si="17"/>
        <v>27720000</v>
      </c>
      <c r="U67" s="34">
        <f>+T67*('Jerarq. Riesgos Costos'!$Q$72+1)</f>
        <v>36727962.597705878</v>
      </c>
      <c r="V67" s="29"/>
      <c r="W67" s="4">
        <v>2</v>
      </c>
      <c r="X67" s="256">
        <f>+W67*('Jerarq. Riesgos Plazo'!$M$65/100+1)</f>
        <v>2.0023907379964414</v>
      </c>
      <c r="Y67" s="29"/>
      <c r="Z67" s="4"/>
      <c r="AA67" s="30"/>
      <c r="AB67" s="29"/>
      <c r="AC67" s="4">
        <v>2</v>
      </c>
      <c r="AD67" s="256">
        <f>+AC67*('Jerarq. Riesgos Plazo'!$M$65/100+1)</f>
        <v>2.0023907379964414</v>
      </c>
      <c r="AE67" s="29"/>
      <c r="AF67" s="4"/>
      <c r="AG67" s="30"/>
    </row>
    <row r="68" spans="2:33" ht="18" x14ac:dyDescent="0.25">
      <c r="B68" s="110" t="s">
        <v>470</v>
      </c>
      <c r="C68" s="115" t="s">
        <v>710</v>
      </c>
      <c r="D68" s="112" t="s">
        <v>486</v>
      </c>
      <c r="E68" s="113" t="s">
        <v>411</v>
      </c>
      <c r="F68" s="113">
        <v>1</v>
      </c>
      <c r="G68" s="265">
        <v>0.2</v>
      </c>
      <c r="H68" s="114">
        <v>1350000</v>
      </c>
      <c r="I68" s="129">
        <f t="shared" si="23"/>
        <v>1350000</v>
      </c>
      <c r="J68" s="343">
        <f>+K68-'Jerarq. Riesgos Plazo'!$K$77*'Aplicación proyecto BD'!K68</f>
        <v>0.18</v>
      </c>
      <c r="K68" s="4">
        <v>0.2</v>
      </c>
      <c r="L68" s="202">
        <f>+K68*('Jerarq. Riesgos Plazo'!$L$77+1)</f>
        <v>0.31661350927590215</v>
      </c>
      <c r="M68" s="64">
        <f>+N68*(-'Jerarq. Riesgos Costos'!$J$72+1)</f>
        <v>1080000</v>
      </c>
      <c r="N68" s="203">
        <f t="shared" si="18"/>
        <v>1350000</v>
      </c>
      <c r="O68" s="49">
        <f>+N68*('Jerarq. Riesgos Costos'!$K$72+1)</f>
        <v>1868049.8692902504</v>
      </c>
      <c r="P68" s="64">
        <f>+Q68-Q68*'Jerarq. Riesgos Plazo'!$Q$77</f>
        <v>0.18</v>
      </c>
      <c r="Q68" s="4">
        <f t="shared" si="13"/>
        <v>0.2</v>
      </c>
      <c r="R68" s="264">
        <f>+Q68+Q68*'Jerarq. Riesgos Plazo'!$R$77</f>
        <v>0.28071711523373433</v>
      </c>
      <c r="S68" s="38">
        <f>+T68*(-'Jerarq. Riesgos Costos'!$P$72+1)</f>
        <v>1080000</v>
      </c>
      <c r="T68" s="203">
        <f t="shared" si="17"/>
        <v>1350000</v>
      </c>
      <c r="U68" s="34">
        <f>+T68*('Jerarq. Riesgos Costos'!$Q$72+1)</f>
        <v>1788699.4771610007</v>
      </c>
      <c r="V68" s="29"/>
      <c r="W68" s="4">
        <v>0.2</v>
      </c>
      <c r="X68" s="256">
        <f>+W68*('Jerarq. Riesgos Plazo'!$M$65/100+1)</f>
        <v>0.20023907379964415</v>
      </c>
      <c r="Y68" s="29"/>
      <c r="Z68" s="4"/>
      <c r="AA68" s="30"/>
      <c r="AB68" s="29"/>
      <c r="AC68" s="4">
        <v>0.2</v>
      </c>
      <c r="AD68" s="256">
        <f>+AC68*('Jerarq. Riesgos Plazo'!$M$65/100+1)</f>
        <v>0.20023907379964415</v>
      </c>
      <c r="AE68" s="29"/>
      <c r="AF68" s="4"/>
      <c r="AG68" s="30"/>
    </row>
    <row r="69" spans="2:33" ht="18" x14ac:dyDescent="0.25">
      <c r="B69" s="110" t="s">
        <v>470</v>
      </c>
      <c r="C69" s="115" t="s">
        <v>711</v>
      </c>
      <c r="D69" s="112" t="s">
        <v>487</v>
      </c>
      <c r="E69" s="113" t="s">
        <v>453</v>
      </c>
      <c r="F69" s="113">
        <v>16</v>
      </c>
      <c r="G69" s="265">
        <v>0.2</v>
      </c>
      <c r="H69" s="114">
        <v>22500</v>
      </c>
      <c r="I69" s="129">
        <f t="shared" si="23"/>
        <v>360000</v>
      </c>
      <c r="J69" s="343">
        <f>+K69-'Jerarq. Riesgos Plazo'!$K$77*'Aplicación proyecto BD'!K69</f>
        <v>0.18</v>
      </c>
      <c r="K69" s="4">
        <v>0.2</v>
      </c>
      <c r="L69" s="202">
        <f>+K69*('Jerarq. Riesgos Plazo'!$L$77+1)</f>
        <v>0.31661350927590215</v>
      </c>
      <c r="M69" s="64">
        <f>+N69*(-'Jerarq. Riesgos Costos'!$J$72+1)</f>
        <v>288000</v>
      </c>
      <c r="N69" s="203">
        <f t="shared" si="18"/>
        <v>360000</v>
      </c>
      <c r="O69" s="49">
        <f>+N69*('Jerarq. Riesgos Costos'!$K$72+1)</f>
        <v>498146.63181073341</v>
      </c>
      <c r="P69" s="64">
        <f>+Q69-Q69*'Jerarq. Riesgos Plazo'!$Q$77</f>
        <v>0.18</v>
      </c>
      <c r="Q69" s="4">
        <f t="shared" si="13"/>
        <v>0.2</v>
      </c>
      <c r="R69" s="264">
        <f>+Q69+Q69*'Jerarq. Riesgos Plazo'!$R$77</f>
        <v>0.28071711523373433</v>
      </c>
      <c r="S69" s="38">
        <f>+T69*(-'Jerarq. Riesgos Costos'!$P$72+1)</f>
        <v>288000</v>
      </c>
      <c r="T69" s="203">
        <f t="shared" si="17"/>
        <v>360000</v>
      </c>
      <c r="U69" s="34">
        <f>+T69*('Jerarq. Riesgos Costos'!$Q$72+1)</f>
        <v>476986.52724293352</v>
      </c>
      <c r="V69" s="29"/>
      <c r="W69" s="4">
        <v>0.2</v>
      </c>
      <c r="X69" s="256">
        <f>+W69*('Jerarq. Riesgos Plazo'!$M$65/100+1)</f>
        <v>0.20023907379964415</v>
      </c>
      <c r="Y69" s="29"/>
      <c r="Z69" s="4"/>
      <c r="AA69" s="30"/>
      <c r="AB69" s="29"/>
      <c r="AC69" s="4">
        <v>0.2</v>
      </c>
      <c r="AD69" s="256">
        <f>+AC69*('Jerarq. Riesgos Plazo'!$M$65/100+1)</f>
        <v>0.20023907379964415</v>
      </c>
      <c r="AE69" s="29"/>
      <c r="AF69" s="4"/>
      <c r="AG69" s="30"/>
    </row>
    <row r="70" spans="2:33" ht="18" x14ac:dyDescent="0.25">
      <c r="B70" s="110" t="s">
        <v>470</v>
      </c>
      <c r="C70" s="115" t="s">
        <v>712</v>
      </c>
      <c r="D70" s="112" t="s">
        <v>488</v>
      </c>
      <c r="E70" s="113" t="s">
        <v>453</v>
      </c>
      <c r="F70" s="113">
        <v>4</v>
      </c>
      <c r="G70" s="265">
        <v>0.1</v>
      </c>
      <c r="H70" s="114">
        <v>75000</v>
      </c>
      <c r="I70" s="129">
        <f t="shared" si="23"/>
        <v>300000</v>
      </c>
      <c r="J70" s="343">
        <f>+K70-'Jerarq. Riesgos Plazo'!$K$77*'Aplicación proyecto BD'!K70</f>
        <v>0.09</v>
      </c>
      <c r="K70" s="4">
        <v>0.1</v>
      </c>
      <c r="L70" s="202">
        <f>+K70*('Jerarq. Riesgos Plazo'!$L$77+1)</f>
        <v>0.15830675463795107</v>
      </c>
      <c r="M70" s="64">
        <f>+N70*(-'Jerarq. Riesgos Costos'!$J$72+1)</f>
        <v>240000</v>
      </c>
      <c r="N70" s="203">
        <f t="shared" si="18"/>
        <v>300000</v>
      </c>
      <c r="O70" s="49">
        <f>+N70*('Jerarq. Riesgos Costos'!$K$72+1)</f>
        <v>415122.19317561114</v>
      </c>
      <c r="P70" s="64">
        <f>+Q70-Q70*'Jerarq. Riesgos Plazo'!$Q$77</f>
        <v>0.09</v>
      </c>
      <c r="Q70" s="4">
        <f t="shared" si="13"/>
        <v>0.1</v>
      </c>
      <c r="R70" s="264">
        <f>+Q70+Q70*'Jerarq. Riesgos Plazo'!$R$77</f>
        <v>0.14035855761686716</v>
      </c>
      <c r="S70" s="38">
        <f>+T70*(-'Jerarq. Riesgos Costos'!$P$72+1)</f>
        <v>240000</v>
      </c>
      <c r="T70" s="203">
        <f t="shared" si="17"/>
        <v>300000</v>
      </c>
      <c r="U70" s="34">
        <f>+T70*('Jerarq. Riesgos Costos'!$Q$72+1)</f>
        <v>397488.77270244458</v>
      </c>
      <c r="V70" s="29"/>
      <c r="W70" s="4">
        <v>0.1</v>
      </c>
      <c r="X70" s="256">
        <f>+W70*('Jerarq. Riesgos Plazo'!$M$65/100+1)</f>
        <v>0.10011953689982207</v>
      </c>
      <c r="Y70" s="29"/>
      <c r="Z70" s="4"/>
      <c r="AA70" s="30"/>
      <c r="AB70" s="29"/>
      <c r="AC70" s="4">
        <v>0.1</v>
      </c>
      <c r="AD70" s="256">
        <f>+AC70*('Jerarq. Riesgos Plazo'!$M$65/100+1)</f>
        <v>0.10011953689982207</v>
      </c>
      <c r="AE70" s="29"/>
      <c r="AF70" s="4"/>
      <c r="AG70" s="30"/>
    </row>
    <row r="71" spans="2:33" ht="18" x14ac:dyDescent="0.25">
      <c r="B71" s="110" t="s">
        <v>470</v>
      </c>
      <c r="C71" s="115" t="s">
        <v>713</v>
      </c>
      <c r="D71" s="112" t="s">
        <v>489</v>
      </c>
      <c r="E71" s="113" t="s">
        <v>453</v>
      </c>
      <c r="F71" s="113">
        <v>1</v>
      </c>
      <c r="G71" s="265">
        <v>0.1</v>
      </c>
      <c r="H71" s="114">
        <v>22500</v>
      </c>
      <c r="I71" s="129">
        <f t="shared" si="23"/>
        <v>22500</v>
      </c>
      <c r="J71" s="343">
        <f>+K71-'Jerarq. Riesgos Plazo'!$K$77*'Aplicación proyecto BD'!K71</f>
        <v>0.09</v>
      </c>
      <c r="K71" s="4">
        <v>0.1</v>
      </c>
      <c r="L71" s="202">
        <f>+K71*('Jerarq. Riesgos Plazo'!$L$77+1)</f>
        <v>0.15830675463795107</v>
      </c>
      <c r="M71" s="64">
        <f>+N71*(-'Jerarq. Riesgos Costos'!$J$72+1)</f>
        <v>18000</v>
      </c>
      <c r="N71" s="203">
        <f t="shared" si="18"/>
        <v>22500</v>
      </c>
      <c r="O71" s="49">
        <f>+N71*('Jerarq. Riesgos Costos'!$K$72+1)</f>
        <v>31134.164488170838</v>
      </c>
      <c r="P71" s="64">
        <f>+Q71-Q71*'Jerarq. Riesgos Plazo'!$Q$77</f>
        <v>0.09</v>
      </c>
      <c r="Q71" s="4">
        <f t="shared" si="13"/>
        <v>0.1</v>
      </c>
      <c r="R71" s="264">
        <f>+Q71+Q71*'Jerarq. Riesgos Plazo'!$R$77</f>
        <v>0.14035855761686716</v>
      </c>
      <c r="S71" s="38">
        <f>+T71*(-'Jerarq. Riesgos Costos'!$P$72+1)</f>
        <v>18000</v>
      </c>
      <c r="T71" s="203">
        <f t="shared" si="17"/>
        <v>22500</v>
      </c>
      <c r="U71" s="34">
        <f>+T71*('Jerarq. Riesgos Costos'!$Q$72+1)</f>
        <v>29811.657952683345</v>
      </c>
      <c r="V71" s="29"/>
      <c r="W71" s="4">
        <v>0.1</v>
      </c>
      <c r="X71" s="256">
        <f>+W71*('Jerarq. Riesgos Plazo'!$M$65/100+1)</f>
        <v>0.10011953689982207</v>
      </c>
      <c r="Y71" s="29"/>
      <c r="Z71" s="4"/>
      <c r="AA71" s="30"/>
      <c r="AB71" s="29"/>
      <c r="AC71" s="4">
        <v>0.1</v>
      </c>
      <c r="AD71" s="256">
        <f>+AC71*('Jerarq. Riesgos Plazo'!$M$65/100+1)</f>
        <v>0.10011953689982207</v>
      </c>
      <c r="AE71" s="29"/>
      <c r="AF71" s="4"/>
      <c r="AG71" s="30"/>
    </row>
    <row r="72" spans="2:33" ht="18" x14ac:dyDescent="0.25">
      <c r="B72" s="110" t="s">
        <v>470</v>
      </c>
      <c r="C72" s="115" t="s">
        <v>714</v>
      </c>
      <c r="D72" s="112" t="s">
        <v>490</v>
      </c>
      <c r="E72" s="113" t="s">
        <v>453</v>
      </c>
      <c r="F72" s="113">
        <v>1</v>
      </c>
      <c r="G72" s="265">
        <v>0.5</v>
      </c>
      <c r="H72" s="114">
        <v>24750.000000000004</v>
      </c>
      <c r="I72" s="129">
        <f t="shared" si="23"/>
        <v>24750.000000000004</v>
      </c>
      <c r="J72" s="343">
        <f>+K72-'Jerarq. Riesgos Plazo'!$K$77*'Aplicación proyecto BD'!K72</f>
        <v>0.45</v>
      </c>
      <c r="K72" s="4">
        <v>0.5</v>
      </c>
      <c r="L72" s="202">
        <f>+K72*('Jerarq. Riesgos Plazo'!$L$77+1)</f>
        <v>0.79153377318975526</v>
      </c>
      <c r="M72" s="64">
        <f>+N72*(-'Jerarq. Riesgos Costos'!$J$72+1)</f>
        <v>19800.000000000004</v>
      </c>
      <c r="N72" s="203">
        <f t="shared" si="18"/>
        <v>24750.000000000004</v>
      </c>
      <c r="O72" s="49">
        <f>+N72*('Jerarq. Riesgos Costos'!$K$72+1)</f>
        <v>34247.580936987928</v>
      </c>
      <c r="P72" s="64">
        <f>+Q72-Q72*'Jerarq. Riesgos Plazo'!$Q$77</f>
        <v>0.45</v>
      </c>
      <c r="Q72" s="4">
        <f t="shared" si="13"/>
        <v>0.5</v>
      </c>
      <c r="R72" s="264">
        <f>+Q72+Q72*'Jerarq. Riesgos Plazo'!$R$77</f>
        <v>0.70179278808433576</v>
      </c>
      <c r="S72" s="38">
        <f>+T72*(-'Jerarq. Riesgos Costos'!$P$72+1)</f>
        <v>19800.000000000004</v>
      </c>
      <c r="T72" s="203">
        <f t="shared" si="17"/>
        <v>24750.000000000004</v>
      </c>
      <c r="U72" s="34">
        <f>+T72*('Jerarq. Riesgos Costos'!$Q$72+1)</f>
        <v>32792.823747951683</v>
      </c>
      <c r="V72" s="29"/>
      <c r="W72" s="4">
        <v>0.5</v>
      </c>
      <c r="X72" s="256">
        <f>+W72*('Jerarq. Riesgos Plazo'!$M$65/100+1)</f>
        <v>0.50059768449911035</v>
      </c>
      <c r="Y72" s="29"/>
      <c r="Z72" s="4"/>
      <c r="AA72" s="30"/>
      <c r="AB72" s="29"/>
      <c r="AC72" s="4">
        <v>0.5</v>
      </c>
      <c r="AD72" s="256">
        <f>+AC72*('Jerarq. Riesgos Plazo'!$M$65/100+1)</f>
        <v>0.50059768449911035</v>
      </c>
      <c r="AE72" s="29"/>
      <c r="AF72" s="4"/>
      <c r="AG72" s="30"/>
    </row>
    <row r="73" spans="2:33" ht="18" x14ac:dyDescent="0.25">
      <c r="B73" s="110" t="s">
        <v>470</v>
      </c>
      <c r="C73" s="115" t="s">
        <v>715</v>
      </c>
      <c r="D73" s="112" t="s">
        <v>491</v>
      </c>
      <c r="E73" s="113" t="s">
        <v>472</v>
      </c>
      <c r="F73" s="113">
        <v>40</v>
      </c>
      <c r="G73" s="265">
        <v>0.8</v>
      </c>
      <c r="H73" s="114">
        <v>16000</v>
      </c>
      <c r="I73" s="129">
        <f t="shared" si="23"/>
        <v>640000</v>
      </c>
      <c r="J73" s="343">
        <f>+K73-'Jerarq. Riesgos Plazo'!$K$77*'Aplicación proyecto BD'!K73</f>
        <v>0.72</v>
      </c>
      <c r="K73" s="4">
        <v>0.8</v>
      </c>
      <c r="L73" s="202">
        <f>+K73*('Jerarq. Riesgos Plazo'!$L$77+1)</f>
        <v>1.2664540371036086</v>
      </c>
      <c r="M73" s="64">
        <f>+N73*(-'Jerarq. Riesgos Costos'!$J$72+1)</f>
        <v>512000</v>
      </c>
      <c r="N73" s="203">
        <f t="shared" si="18"/>
        <v>640000</v>
      </c>
      <c r="O73" s="49">
        <f>+N73*('Jerarq. Riesgos Costos'!$K$72+1)</f>
        <v>885594.01210797054</v>
      </c>
      <c r="P73" s="64">
        <f>+Q73-Q73*'Jerarq. Riesgos Plazo'!$Q$77</f>
        <v>0.72</v>
      </c>
      <c r="Q73" s="4">
        <f t="shared" si="13"/>
        <v>0.8</v>
      </c>
      <c r="R73" s="264">
        <f>+Q73+Q73*'Jerarq. Riesgos Plazo'!$R$77</f>
        <v>1.1228684609349373</v>
      </c>
      <c r="S73" s="38">
        <f>+T73*(-'Jerarq. Riesgos Costos'!$P$72+1)</f>
        <v>512000</v>
      </c>
      <c r="T73" s="203">
        <f t="shared" si="17"/>
        <v>640000</v>
      </c>
      <c r="U73" s="34">
        <f>+T73*('Jerarq. Riesgos Costos'!$Q$72+1)</f>
        <v>847976.04843188182</v>
      </c>
      <c r="V73" s="29"/>
      <c r="W73" s="4">
        <v>0.8</v>
      </c>
      <c r="X73" s="256">
        <f>+W73*('Jerarq. Riesgos Plazo'!$M$65/100+1)</f>
        <v>0.80095629519857658</v>
      </c>
      <c r="Y73" s="29"/>
      <c r="Z73" s="4"/>
      <c r="AA73" s="30"/>
      <c r="AB73" s="29"/>
      <c r="AC73" s="4">
        <v>0.8</v>
      </c>
      <c r="AD73" s="256">
        <f>+AC73*('Jerarq. Riesgos Plazo'!$M$65/100+1)</f>
        <v>0.80095629519857658</v>
      </c>
      <c r="AE73" s="29"/>
      <c r="AF73" s="4"/>
      <c r="AG73" s="30"/>
    </row>
    <row r="74" spans="2:33" ht="18" x14ac:dyDescent="0.25">
      <c r="B74" s="110" t="s">
        <v>470</v>
      </c>
      <c r="C74" s="115" t="s">
        <v>716</v>
      </c>
      <c r="D74" s="112" t="s">
        <v>492</v>
      </c>
      <c r="E74" s="113" t="s">
        <v>472</v>
      </c>
      <c r="F74" s="113">
        <v>45</v>
      </c>
      <c r="G74" s="265">
        <v>0.3</v>
      </c>
      <c r="H74" s="114">
        <v>18000</v>
      </c>
      <c r="I74" s="129">
        <f t="shared" si="23"/>
        <v>810000</v>
      </c>
      <c r="J74" s="343">
        <f>+K74-'Jerarq. Riesgos Plazo'!$K$77*'Aplicación proyecto BD'!K74</f>
        <v>0.27</v>
      </c>
      <c r="K74" s="4">
        <v>0.3</v>
      </c>
      <c r="L74" s="202">
        <f>+K74*('Jerarq. Riesgos Plazo'!$L$77+1)</f>
        <v>0.47492026391385311</v>
      </c>
      <c r="M74" s="64">
        <f>+N74*(-'Jerarq. Riesgos Costos'!$J$72+1)</f>
        <v>648000</v>
      </c>
      <c r="N74" s="203">
        <f t="shared" si="18"/>
        <v>810000</v>
      </c>
      <c r="O74" s="49">
        <f>+N74*('Jerarq. Riesgos Costos'!$K$72+1)</f>
        <v>1120829.9215741502</v>
      </c>
      <c r="P74" s="64">
        <f>+Q74-Q74*'Jerarq. Riesgos Plazo'!$Q$77</f>
        <v>0.27</v>
      </c>
      <c r="Q74" s="4">
        <f t="shared" si="13"/>
        <v>0.3</v>
      </c>
      <c r="R74" s="264">
        <f>+Q74+Q74*'Jerarq. Riesgos Plazo'!$R$77</f>
        <v>0.42107567285060143</v>
      </c>
      <c r="S74" s="38">
        <f>+T74*(-'Jerarq. Riesgos Costos'!$P$72+1)</f>
        <v>648000</v>
      </c>
      <c r="T74" s="203">
        <f t="shared" si="17"/>
        <v>810000</v>
      </c>
      <c r="U74" s="34">
        <f>+T74*('Jerarq. Riesgos Costos'!$Q$72+1)</f>
        <v>1073219.6862966004</v>
      </c>
      <c r="V74" s="29"/>
      <c r="W74" s="4">
        <v>0.3</v>
      </c>
      <c r="X74" s="256">
        <f>+W74*('Jerarq. Riesgos Plazo'!$M$65/100+1)</f>
        <v>0.30035861069946618</v>
      </c>
      <c r="Y74" s="29"/>
      <c r="Z74" s="4"/>
      <c r="AA74" s="30"/>
      <c r="AB74" s="29"/>
      <c r="AC74" s="4">
        <v>0.3</v>
      </c>
      <c r="AD74" s="256">
        <f>+AC74*('Jerarq. Riesgos Plazo'!$M$65/100+1)</f>
        <v>0.30035861069946618</v>
      </c>
      <c r="AE74" s="29"/>
      <c r="AF74" s="4"/>
      <c r="AG74" s="30"/>
    </row>
    <row r="75" spans="2:33" ht="18" x14ac:dyDescent="0.25">
      <c r="B75" s="110" t="s">
        <v>470</v>
      </c>
      <c r="C75" s="115" t="s">
        <v>717</v>
      </c>
      <c r="D75" s="112" t="s">
        <v>493</v>
      </c>
      <c r="E75" s="113" t="s">
        <v>472</v>
      </c>
      <c r="F75" s="113">
        <v>15</v>
      </c>
      <c r="G75" s="265">
        <v>1</v>
      </c>
      <c r="H75" s="114">
        <v>8500</v>
      </c>
      <c r="I75" s="129">
        <f t="shared" si="23"/>
        <v>127500</v>
      </c>
      <c r="J75" s="343">
        <f>+K75-'Jerarq. Riesgos Plazo'!$K$77*'Aplicación proyecto BD'!K75</f>
        <v>0.9</v>
      </c>
      <c r="K75" s="4">
        <v>1</v>
      </c>
      <c r="L75" s="202">
        <f>+K75*('Jerarq. Riesgos Plazo'!$L$77+1)</f>
        <v>1.5830675463795105</v>
      </c>
      <c r="M75" s="64">
        <f>+N75*(-'Jerarq. Riesgos Costos'!$J$72+1)</f>
        <v>102000</v>
      </c>
      <c r="N75" s="203">
        <f t="shared" si="18"/>
        <v>127500</v>
      </c>
      <c r="O75" s="49">
        <f>+N75*('Jerarq. Riesgos Costos'!$K$72+1)</f>
        <v>176426.93209963475</v>
      </c>
      <c r="P75" s="64">
        <f>+Q75-Q75*'Jerarq. Riesgos Plazo'!$Q$77</f>
        <v>0.9</v>
      </c>
      <c r="Q75" s="4">
        <f t="shared" si="13"/>
        <v>1</v>
      </c>
      <c r="R75" s="264">
        <f>+Q75+Q75*'Jerarq. Riesgos Plazo'!$R$77</f>
        <v>1.4035855761686715</v>
      </c>
      <c r="S75" s="38">
        <f>+T75*(-'Jerarq. Riesgos Costos'!$P$72+1)</f>
        <v>102000</v>
      </c>
      <c r="T75" s="203">
        <f t="shared" si="17"/>
        <v>127500</v>
      </c>
      <c r="U75" s="34">
        <f>+T75*('Jerarq. Riesgos Costos'!$Q$72+1)</f>
        <v>168932.72839853895</v>
      </c>
      <c r="V75" s="29"/>
      <c r="W75" s="4">
        <v>1</v>
      </c>
      <c r="X75" s="256">
        <f>+W75*('Jerarq. Riesgos Plazo'!$M$65/100+1)</f>
        <v>1.0011953689982207</v>
      </c>
      <c r="Y75" s="29"/>
      <c r="Z75" s="4"/>
      <c r="AA75" s="30"/>
      <c r="AB75" s="29"/>
      <c r="AC75" s="4">
        <v>1</v>
      </c>
      <c r="AD75" s="256">
        <f>+AC75*('Jerarq. Riesgos Plazo'!$M$65/100+1)</f>
        <v>1.0011953689982207</v>
      </c>
      <c r="AE75" s="29"/>
      <c r="AF75" s="4"/>
      <c r="AG75" s="30"/>
    </row>
    <row r="76" spans="2:33" ht="18" x14ac:dyDescent="0.25">
      <c r="B76" s="110" t="s">
        <v>470</v>
      </c>
      <c r="C76" s="115" t="s">
        <v>718</v>
      </c>
      <c r="D76" s="112" t="s">
        <v>662</v>
      </c>
      <c r="E76" s="113" t="s">
        <v>453</v>
      </c>
      <c r="F76" s="113">
        <v>16</v>
      </c>
      <c r="G76" s="265">
        <v>0.3</v>
      </c>
      <c r="H76" s="114">
        <v>18300</v>
      </c>
      <c r="I76" s="129">
        <f t="shared" si="23"/>
        <v>292800</v>
      </c>
      <c r="J76" s="343">
        <f>+K76-'Jerarq. Riesgos Plazo'!$K$77*'Aplicación proyecto BD'!K76</f>
        <v>0.27</v>
      </c>
      <c r="K76" s="4">
        <v>0.3</v>
      </c>
      <c r="L76" s="202">
        <f>+K76*('Jerarq. Riesgos Plazo'!$L$77+1)</f>
        <v>0.47492026391385311</v>
      </c>
      <c r="M76" s="64">
        <f>+N76*(-'Jerarq. Riesgos Costos'!$J$72+1)</f>
        <v>234240</v>
      </c>
      <c r="N76" s="203">
        <f t="shared" si="18"/>
        <v>292800</v>
      </c>
      <c r="O76" s="49">
        <f>+N76*('Jerarq. Riesgos Costos'!$K$72+1)</f>
        <v>405159.26053939649</v>
      </c>
      <c r="P76" s="64">
        <f>+Q76-Q76*'Jerarq. Riesgos Plazo'!$Q$77</f>
        <v>0.27</v>
      </c>
      <c r="Q76" s="4">
        <f t="shared" si="13"/>
        <v>0.3</v>
      </c>
      <c r="R76" s="264">
        <f>+Q76+Q76*'Jerarq. Riesgos Plazo'!$R$77</f>
        <v>0.42107567285060143</v>
      </c>
      <c r="S76" s="38">
        <f>+T76*(-'Jerarq. Riesgos Costos'!$P$72+1)</f>
        <v>234240</v>
      </c>
      <c r="T76" s="203">
        <f t="shared" si="17"/>
        <v>292800</v>
      </c>
      <c r="U76" s="34">
        <f>+T76*('Jerarq. Riesgos Costos'!$Q$72+1)</f>
        <v>387949.04215758591</v>
      </c>
      <c r="V76" s="29"/>
      <c r="W76" s="4">
        <v>0.3</v>
      </c>
      <c r="X76" s="256">
        <f>+W76*('Jerarq. Riesgos Plazo'!$M$65/100+1)</f>
        <v>0.30035861069946618</v>
      </c>
      <c r="Y76" s="29"/>
      <c r="Z76" s="4"/>
      <c r="AA76" s="30"/>
      <c r="AB76" s="29"/>
      <c r="AC76" s="4">
        <v>0.3</v>
      </c>
      <c r="AD76" s="256">
        <f>+AC76*('Jerarq. Riesgos Plazo'!$M$65/100+1)</f>
        <v>0.30035861069946618</v>
      </c>
      <c r="AE76" s="29"/>
      <c r="AF76" s="4"/>
      <c r="AG76" s="30"/>
    </row>
    <row r="77" spans="2:33" ht="18" x14ac:dyDescent="0.25">
      <c r="B77" s="110" t="s">
        <v>470</v>
      </c>
      <c r="C77" s="115" t="s">
        <v>719</v>
      </c>
      <c r="D77" s="112" t="s">
        <v>494</v>
      </c>
      <c r="E77" s="113" t="s">
        <v>453</v>
      </c>
      <c r="F77" s="113">
        <v>6</v>
      </c>
      <c r="G77" s="265">
        <v>0.3</v>
      </c>
      <c r="H77" s="114">
        <v>38250</v>
      </c>
      <c r="I77" s="129">
        <f t="shared" si="23"/>
        <v>229500</v>
      </c>
      <c r="J77" s="343">
        <f>+K77-'Jerarq. Riesgos Plazo'!$K$77*'Aplicación proyecto BD'!K77</f>
        <v>0.27</v>
      </c>
      <c r="K77" s="4">
        <v>0.3</v>
      </c>
      <c r="L77" s="202">
        <f>+K77*('Jerarq. Riesgos Plazo'!$L$77+1)</f>
        <v>0.47492026391385311</v>
      </c>
      <c r="M77" s="64">
        <f>+N77*(-'Jerarq. Riesgos Costos'!$J$72+1)</f>
        <v>183600</v>
      </c>
      <c r="N77" s="203">
        <f t="shared" si="18"/>
        <v>229500</v>
      </c>
      <c r="O77" s="49">
        <f>+N77*('Jerarq. Riesgos Costos'!$K$72+1)</f>
        <v>317568.47777934256</v>
      </c>
      <c r="P77" s="64">
        <f>+Q77-Q77*'Jerarq. Riesgos Plazo'!$Q$77</f>
        <v>0.27</v>
      </c>
      <c r="Q77" s="4">
        <f t="shared" si="13"/>
        <v>0.3</v>
      </c>
      <c r="R77" s="264">
        <f>+Q77+Q77*'Jerarq. Riesgos Plazo'!$R$77</f>
        <v>0.42107567285060143</v>
      </c>
      <c r="S77" s="38">
        <f>+T77*(-'Jerarq. Riesgos Costos'!$P$72+1)</f>
        <v>183600</v>
      </c>
      <c r="T77" s="203">
        <f t="shared" si="17"/>
        <v>229500</v>
      </c>
      <c r="U77" s="34">
        <f>+T77*('Jerarq. Riesgos Costos'!$Q$72+1)</f>
        <v>304078.91111737012</v>
      </c>
      <c r="V77" s="29"/>
      <c r="W77" s="4">
        <v>0.3</v>
      </c>
      <c r="X77" s="256">
        <f>+W77*('Jerarq. Riesgos Plazo'!$M$65/100+1)</f>
        <v>0.30035861069946618</v>
      </c>
      <c r="Y77" s="29"/>
      <c r="Z77" s="4"/>
      <c r="AA77" s="30"/>
      <c r="AB77" s="29"/>
      <c r="AC77" s="4">
        <v>0.3</v>
      </c>
      <c r="AD77" s="256">
        <f>+AC77*('Jerarq. Riesgos Plazo'!$M$65/100+1)</f>
        <v>0.30035861069946618</v>
      </c>
      <c r="AE77" s="29"/>
      <c r="AF77" s="4"/>
      <c r="AG77" s="30"/>
    </row>
    <row r="78" spans="2:33" ht="18" x14ac:dyDescent="0.25">
      <c r="B78" s="110" t="s">
        <v>470</v>
      </c>
      <c r="C78" s="115" t="s">
        <v>720</v>
      </c>
      <c r="D78" s="112" t="s">
        <v>495</v>
      </c>
      <c r="E78" s="113" t="s">
        <v>453</v>
      </c>
      <c r="F78" s="113">
        <v>3</v>
      </c>
      <c r="G78" s="265">
        <v>0.3</v>
      </c>
      <c r="H78" s="114">
        <v>38250</v>
      </c>
      <c r="I78" s="129">
        <f t="shared" si="23"/>
        <v>114750</v>
      </c>
      <c r="J78" s="343">
        <f>+K78-'Jerarq. Riesgos Plazo'!$K$77*'Aplicación proyecto BD'!K78</f>
        <v>0.27</v>
      </c>
      <c r="K78" s="4">
        <v>0.3</v>
      </c>
      <c r="L78" s="202">
        <f>+K78*('Jerarq. Riesgos Plazo'!$L$77+1)</f>
        <v>0.47492026391385311</v>
      </c>
      <c r="M78" s="64">
        <f>+N78*(-'Jerarq. Riesgos Costos'!$J$72+1)</f>
        <v>91800</v>
      </c>
      <c r="N78" s="203">
        <f t="shared" si="18"/>
        <v>114750</v>
      </c>
      <c r="O78" s="49">
        <f>+N78*('Jerarq. Riesgos Costos'!$K$72+1)</f>
        <v>158784.23888967128</v>
      </c>
      <c r="P78" s="64">
        <f>+Q78-Q78*'Jerarq. Riesgos Plazo'!$Q$77</f>
        <v>0.27</v>
      </c>
      <c r="Q78" s="4">
        <f t="shared" si="13"/>
        <v>0.3</v>
      </c>
      <c r="R78" s="264">
        <f>+Q78+Q78*'Jerarq. Riesgos Plazo'!$R$77</f>
        <v>0.42107567285060143</v>
      </c>
      <c r="S78" s="38">
        <f>+T78*(-'Jerarq. Riesgos Costos'!$P$72+1)</f>
        <v>91800</v>
      </c>
      <c r="T78" s="203">
        <f t="shared" si="17"/>
        <v>114750</v>
      </c>
      <c r="U78" s="34">
        <f>+T78*('Jerarq. Riesgos Costos'!$Q$72+1)</f>
        <v>152039.45555868506</v>
      </c>
      <c r="V78" s="29"/>
      <c r="W78" s="4">
        <v>0.3</v>
      </c>
      <c r="X78" s="256">
        <f>+W78*('Jerarq. Riesgos Plazo'!$M$65/100+1)</f>
        <v>0.30035861069946618</v>
      </c>
      <c r="Y78" s="29"/>
      <c r="Z78" s="4"/>
      <c r="AA78" s="30"/>
      <c r="AB78" s="29"/>
      <c r="AC78" s="4">
        <v>0.3</v>
      </c>
      <c r="AD78" s="256">
        <f>+AC78*('Jerarq. Riesgos Plazo'!$M$65/100+1)</f>
        <v>0.30035861069946618</v>
      </c>
      <c r="AE78" s="29"/>
      <c r="AF78" s="4"/>
      <c r="AG78" s="30"/>
    </row>
    <row r="79" spans="2:33" ht="18" x14ac:dyDescent="0.25">
      <c r="B79" s="110" t="s">
        <v>470</v>
      </c>
      <c r="C79" s="115" t="s">
        <v>721</v>
      </c>
      <c r="D79" s="112" t="s">
        <v>496</v>
      </c>
      <c r="E79" s="113" t="s">
        <v>453</v>
      </c>
      <c r="F79" s="113">
        <v>11</v>
      </c>
      <c r="G79" s="265">
        <v>0.3</v>
      </c>
      <c r="H79" s="114">
        <v>75000</v>
      </c>
      <c r="I79" s="129">
        <f t="shared" si="23"/>
        <v>825000</v>
      </c>
      <c r="J79" s="343">
        <f>+K79-'Jerarq. Riesgos Plazo'!$K$77*'Aplicación proyecto BD'!K79</f>
        <v>0.27</v>
      </c>
      <c r="K79" s="4">
        <v>0.3</v>
      </c>
      <c r="L79" s="202">
        <f>+K79*('Jerarq. Riesgos Plazo'!$L$77+1)</f>
        <v>0.47492026391385311</v>
      </c>
      <c r="M79" s="64">
        <f>+N79*(-'Jerarq. Riesgos Costos'!$J$72+1)</f>
        <v>660000</v>
      </c>
      <c r="N79" s="203">
        <f t="shared" si="18"/>
        <v>825000</v>
      </c>
      <c r="O79" s="49">
        <f>+N79*('Jerarq. Riesgos Costos'!$K$72+1)</f>
        <v>1141586.0312329307</v>
      </c>
      <c r="P79" s="64">
        <f>+Q79-Q79*'Jerarq. Riesgos Plazo'!$Q$77</f>
        <v>0.27</v>
      </c>
      <c r="Q79" s="4">
        <f t="shared" si="13"/>
        <v>0.3</v>
      </c>
      <c r="R79" s="264">
        <f>+Q79+Q79*'Jerarq. Riesgos Plazo'!$R$77</f>
        <v>0.42107567285060143</v>
      </c>
      <c r="S79" s="38">
        <f>+T79*(-'Jerarq. Riesgos Costos'!$P$72+1)</f>
        <v>660000</v>
      </c>
      <c r="T79" s="203">
        <f t="shared" si="17"/>
        <v>825000</v>
      </c>
      <c r="U79" s="34">
        <f>+T79*('Jerarq. Riesgos Costos'!$Q$72+1)</f>
        <v>1093094.1249317226</v>
      </c>
      <c r="V79" s="29"/>
      <c r="W79" s="4">
        <v>0.3</v>
      </c>
      <c r="X79" s="256">
        <f>+W79*('Jerarq. Riesgos Plazo'!$M$65/100+1)</f>
        <v>0.30035861069946618</v>
      </c>
      <c r="Y79" s="29"/>
      <c r="Z79" s="4"/>
      <c r="AA79" s="30"/>
      <c r="AB79" s="29"/>
      <c r="AC79" s="4">
        <v>0.3</v>
      </c>
      <c r="AD79" s="256">
        <f>+AC79*('Jerarq. Riesgos Plazo'!$M$65/100+1)</f>
        <v>0.30035861069946618</v>
      </c>
      <c r="AE79" s="29"/>
      <c r="AF79" s="4"/>
      <c r="AG79" s="30"/>
    </row>
    <row r="80" spans="2:33" ht="18" x14ac:dyDescent="0.25">
      <c r="B80" s="110" t="s">
        <v>470</v>
      </c>
      <c r="C80" s="115" t="s">
        <v>722</v>
      </c>
      <c r="D80" s="112" t="s">
        <v>497</v>
      </c>
      <c r="E80" s="113" t="s">
        <v>453</v>
      </c>
      <c r="F80" s="113">
        <v>8</v>
      </c>
      <c r="G80" s="265">
        <v>0.1</v>
      </c>
      <c r="H80" s="114">
        <v>75000</v>
      </c>
      <c r="I80" s="129">
        <f t="shared" si="23"/>
        <v>600000</v>
      </c>
      <c r="J80" s="343">
        <f>+K80-'Jerarq. Riesgos Plazo'!$K$77*'Aplicación proyecto BD'!K80</f>
        <v>0.09</v>
      </c>
      <c r="K80" s="4">
        <v>0.1</v>
      </c>
      <c r="L80" s="202">
        <f>+K80*('Jerarq. Riesgos Plazo'!$L$77+1)</f>
        <v>0.15830675463795107</v>
      </c>
      <c r="M80" s="64">
        <f>+N80*(-'Jerarq. Riesgos Costos'!$J$72+1)</f>
        <v>480000</v>
      </c>
      <c r="N80" s="203">
        <f t="shared" si="18"/>
        <v>600000</v>
      </c>
      <c r="O80" s="49">
        <f>+N80*('Jerarq. Riesgos Costos'!$K$72+1)</f>
        <v>830244.38635122229</v>
      </c>
      <c r="P80" s="64">
        <f>+Q80-Q80*'Jerarq. Riesgos Plazo'!$Q$77</f>
        <v>0.09</v>
      </c>
      <c r="Q80" s="4">
        <f t="shared" si="13"/>
        <v>0.1</v>
      </c>
      <c r="R80" s="264">
        <f>+Q80+Q80*'Jerarq. Riesgos Plazo'!$R$77</f>
        <v>0.14035855761686716</v>
      </c>
      <c r="S80" s="38">
        <f>+T80*(-'Jerarq. Riesgos Costos'!$P$72+1)</f>
        <v>480000</v>
      </c>
      <c r="T80" s="203">
        <f t="shared" si="17"/>
        <v>600000</v>
      </c>
      <c r="U80" s="34">
        <f>+T80*('Jerarq. Riesgos Costos'!$Q$72+1)</f>
        <v>794977.54540488916</v>
      </c>
      <c r="V80" s="29"/>
      <c r="W80" s="4"/>
      <c r="X80" s="256"/>
      <c r="Y80" s="29"/>
      <c r="Z80" s="4"/>
      <c r="AA80" s="30"/>
      <c r="AB80" s="29"/>
      <c r="AC80" s="4"/>
      <c r="AD80" s="256"/>
      <c r="AE80" s="29"/>
      <c r="AF80" s="4"/>
      <c r="AG80" s="30"/>
    </row>
    <row r="81" spans="2:33" ht="18" x14ac:dyDescent="0.25">
      <c r="B81" s="251" t="s">
        <v>655</v>
      </c>
      <c r="C81" s="251" t="s">
        <v>460</v>
      </c>
      <c r="D81" s="252" t="s">
        <v>434</v>
      </c>
      <c r="E81" s="253"/>
      <c r="F81" s="254"/>
      <c r="G81" s="261">
        <f>+SUM(G82:G89)</f>
        <v>18.3</v>
      </c>
      <c r="H81" s="255"/>
      <c r="I81" s="256">
        <f t="shared" ref="I81:O81" si="24">+SUM(I82:I89)</f>
        <v>71901400</v>
      </c>
      <c r="J81" s="261">
        <f t="shared" si="24"/>
        <v>16.47</v>
      </c>
      <c r="K81" s="261">
        <f t="shared" si="24"/>
        <v>18.3</v>
      </c>
      <c r="L81" s="256">
        <f t="shared" si="24"/>
        <v>28.970136098745041</v>
      </c>
      <c r="M81" s="260">
        <f t="shared" si="24"/>
        <v>57521120</v>
      </c>
      <c r="N81" s="261">
        <f t="shared" si="24"/>
        <v>71901400</v>
      </c>
      <c r="O81" s="262">
        <f t="shared" si="24"/>
        <v>96257326.534656286</v>
      </c>
      <c r="P81" s="260">
        <f t="shared" ref="P81:U81" si="25">+SUM(P82:P89)</f>
        <v>16.47</v>
      </c>
      <c r="Q81" s="261">
        <f t="shared" si="25"/>
        <v>18.3</v>
      </c>
      <c r="R81" s="262">
        <f t="shared" si="25"/>
        <v>25.685616043886693</v>
      </c>
      <c r="S81" s="368">
        <f t="shared" si="25"/>
        <v>57521120</v>
      </c>
      <c r="T81" s="261">
        <f t="shared" si="25"/>
        <v>71901400</v>
      </c>
      <c r="U81" s="262">
        <f t="shared" si="25"/>
        <v>93828636.138625175</v>
      </c>
      <c r="V81" s="260">
        <v>18</v>
      </c>
      <c r="W81" s="261">
        <f>+SUM(W82:W89)</f>
        <v>18.3</v>
      </c>
      <c r="X81" s="256">
        <f>+W81*('Jerarq. Riesgos Plazo'!$M$65/100+1)</f>
        <v>18.321875252667439</v>
      </c>
      <c r="Y81" s="260"/>
      <c r="Z81" s="261"/>
      <c r="AA81" s="262"/>
      <c r="AB81" s="260">
        <v>18</v>
      </c>
      <c r="AC81" s="261">
        <f>+SUM(AC82:AC89)</f>
        <v>18.3</v>
      </c>
      <c r="AD81" s="256">
        <f>+AC81*('Jerarq. Riesgos Plazo'!$M$65/100+1)</f>
        <v>18.321875252667439</v>
      </c>
      <c r="AE81" s="260"/>
      <c r="AF81" s="261"/>
      <c r="AG81" s="262"/>
    </row>
    <row r="82" spans="2:33" ht="18" x14ac:dyDescent="0.25">
      <c r="B82" s="110" t="s">
        <v>435</v>
      </c>
      <c r="C82" s="115" t="s">
        <v>723</v>
      </c>
      <c r="D82" s="112" t="s">
        <v>438</v>
      </c>
      <c r="E82" s="113" t="s">
        <v>429</v>
      </c>
      <c r="F82" s="113">
        <v>5462</v>
      </c>
      <c r="G82" s="265">
        <v>4</v>
      </c>
      <c r="H82" s="114">
        <v>3050</v>
      </c>
      <c r="I82" s="129">
        <f t="shared" si="16"/>
        <v>16659100</v>
      </c>
      <c r="J82" s="343">
        <f>+K82-'Jerarq. Riesgos Plazo'!$K$77*'Aplicación proyecto BD'!K82</f>
        <v>3.6</v>
      </c>
      <c r="K82" s="4">
        <v>4</v>
      </c>
      <c r="L82" s="202">
        <f>+K82*('Jerarq. Riesgos Plazo'!$L$77+1)</f>
        <v>6.3322701855180421</v>
      </c>
      <c r="M82" s="64">
        <f>+N82*(-'Jerarq. Riesgos Costos'!$J$73+1)</f>
        <v>13327280</v>
      </c>
      <c r="N82" s="203">
        <f t="shared" si="18"/>
        <v>16659100</v>
      </c>
      <c r="O82" s="49">
        <f>+N82*('Jerarq. Riesgos Costos'!$K$73+1)</f>
        <v>22302214.261106078</v>
      </c>
      <c r="P82" s="64">
        <f>+Q82-Q82*'Jerarq. Riesgos Plazo'!$Q$77</f>
        <v>3.6</v>
      </c>
      <c r="Q82" s="4">
        <f t="shared" si="13"/>
        <v>4</v>
      </c>
      <c r="R82" s="264">
        <f>+Q82+Q82*'Jerarq. Riesgos Plazo'!$R$77</f>
        <v>5.6143423046746861</v>
      </c>
      <c r="S82" s="38">
        <f>+T82*(-'Jerarq. Riesgos Costos'!$P$73+1)</f>
        <v>13327280</v>
      </c>
      <c r="T82" s="203">
        <f t="shared" si="17"/>
        <v>16659100</v>
      </c>
      <c r="U82" s="34">
        <f>+T82*('Jerarq. Riesgos Costos'!$Q$73+1)</f>
        <v>21739502.044424318</v>
      </c>
      <c r="V82" s="29"/>
      <c r="W82" s="4">
        <v>4</v>
      </c>
      <c r="X82" s="256">
        <f>+W82*('Jerarq. Riesgos Plazo'!$M$65/100+1)</f>
        <v>4.0047814759928828</v>
      </c>
      <c r="Y82" s="29"/>
      <c r="Z82" s="4"/>
      <c r="AA82" s="30"/>
      <c r="AB82" s="29"/>
      <c r="AC82" s="4">
        <v>4</v>
      </c>
      <c r="AD82" s="256">
        <f>+AC82*('Jerarq. Riesgos Plazo'!$M$65/100+1)</f>
        <v>4.0047814759928828</v>
      </c>
      <c r="AE82" s="29"/>
      <c r="AF82" s="4"/>
      <c r="AG82" s="30"/>
    </row>
    <row r="83" spans="2:33" ht="18" x14ac:dyDescent="0.25">
      <c r="B83" s="110" t="s">
        <v>435</v>
      </c>
      <c r="C83" s="115" t="s">
        <v>724</v>
      </c>
      <c r="D83" s="112" t="s">
        <v>440</v>
      </c>
      <c r="E83" s="113" t="s">
        <v>429</v>
      </c>
      <c r="F83" s="113">
        <v>7016</v>
      </c>
      <c r="G83" s="265">
        <v>1</v>
      </c>
      <c r="H83" s="114">
        <v>2300</v>
      </c>
      <c r="I83" s="129">
        <f t="shared" si="16"/>
        <v>16136800</v>
      </c>
      <c r="J83" s="343">
        <f>+K83-'Jerarq. Riesgos Plazo'!$K$77*'Aplicación proyecto BD'!K83</f>
        <v>0.9</v>
      </c>
      <c r="K83" s="4">
        <v>1</v>
      </c>
      <c r="L83" s="202">
        <f>+K83*('Jerarq. Riesgos Plazo'!$L$77+1)</f>
        <v>1.5830675463795105</v>
      </c>
      <c r="M83" s="64">
        <f>+N83*(-'Jerarq. Riesgos Costos'!$J$73+1)</f>
        <v>12909440</v>
      </c>
      <c r="N83" s="203">
        <f t="shared" si="18"/>
        <v>16136800</v>
      </c>
      <c r="O83" s="49">
        <f>+N83*('Jerarq. Riesgos Costos'!$K$73+1)</f>
        <v>21602990.02278734</v>
      </c>
      <c r="P83" s="64">
        <f>+Q83-Q83*'Jerarq. Riesgos Plazo'!$Q$77</f>
        <v>0.9</v>
      </c>
      <c r="Q83" s="4">
        <f t="shared" si="13"/>
        <v>1</v>
      </c>
      <c r="R83" s="264">
        <f>+Q83+Q83*'Jerarq. Riesgos Plazo'!$R$77</f>
        <v>1.4035855761686715</v>
      </c>
      <c r="S83" s="38">
        <f>+T83*(-'Jerarq. Riesgos Costos'!$P$73+1)</f>
        <v>12909440</v>
      </c>
      <c r="T83" s="203">
        <f t="shared" si="17"/>
        <v>16136800</v>
      </c>
      <c r="U83" s="34">
        <f>+T83*('Jerarq. Riesgos Costos'!$Q$73+1)</f>
        <v>21057920.09114936</v>
      </c>
      <c r="V83" s="29"/>
      <c r="W83" s="4">
        <v>1</v>
      </c>
      <c r="X83" s="256">
        <f>+W83*('Jerarq. Riesgos Plazo'!$M$65/100+1)</f>
        <v>1.0011953689982207</v>
      </c>
      <c r="Y83" s="29"/>
      <c r="Z83" s="4"/>
      <c r="AA83" s="30"/>
      <c r="AB83" s="29"/>
      <c r="AC83" s="4">
        <v>1</v>
      </c>
      <c r="AD83" s="256">
        <f>+AC83*('Jerarq. Riesgos Plazo'!$M$65/100+1)</f>
        <v>1.0011953689982207</v>
      </c>
      <c r="AE83" s="29"/>
      <c r="AF83" s="4"/>
      <c r="AG83" s="30"/>
    </row>
    <row r="84" spans="2:33" ht="18" x14ac:dyDescent="0.25">
      <c r="B84" s="110" t="s">
        <v>435</v>
      </c>
      <c r="C84" s="115" t="s">
        <v>725</v>
      </c>
      <c r="D84" s="112" t="s">
        <v>442</v>
      </c>
      <c r="E84" s="113" t="s">
        <v>429</v>
      </c>
      <c r="F84" s="113">
        <v>5462</v>
      </c>
      <c r="G84" s="265">
        <v>5</v>
      </c>
      <c r="H84" s="114">
        <v>2500</v>
      </c>
      <c r="I84" s="129">
        <f t="shared" si="16"/>
        <v>13655000</v>
      </c>
      <c r="J84" s="343">
        <f>+K84-'Jerarq. Riesgos Plazo'!$K$77*'Aplicación proyecto BD'!K84</f>
        <v>4.5</v>
      </c>
      <c r="K84" s="4">
        <v>5</v>
      </c>
      <c r="L84" s="202">
        <f>+K84*('Jerarq. Riesgos Plazo'!$L$77+1)</f>
        <v>7.9153377318975524</v>
      </c>
      <c r="M84" s="64">
        <f>+N84*(-'Jerarq. Riesgos Costos'!$J$73+1)</f>
        <v>10924000</v>
      </c>
      <c r="N84" s="203">
        <f t="shared" si="18"/>
        <v>13655000</v>
      </c>
      <c r="O84" s="49">
        <f>+N84*('Jerarq. Riesgos Costos'!$K$73+1)</f>
        <v>18280503.492709901</v>
      </c>
      <c r="P84" s="64">
        <f>+Q84-Q84*'Jerarq. Riesgos Plazo'!$Q$77</f>
        <v>4.5</v>
      </c>
      <c r="Q84" s="4">
        <f t="shared" si="13"/>
        <v>5</v>
      </c>
      <c r="R84" s="264">
        <f>+Q84+Q84*'Jerarq. Riesgos Plazo'!$R$77</f>
        <v>7.0179278808433576</v>
      </c>
      <c r="S84" s="38">
        <f>+T84*(-'Jerarq. Riesgos Costos'!$P$73+1)</f>
        <v>10924000</v>
      </c>
      <c r="T84" s="203">
        <f t="shared" si="17"/>
        <v>13655000</v>
      </c>
      <c r="U84" s="34">
        <f>+T84*('Jerarq. Riesgos Costos'!$Q$73+1)</f>
        <v>17819263.970839605</v>
      </c>
      <c r="V84" s="29"/>
      <c r="W84" s="4">
        <v>5</v>
      </c>
      <c r="X84" s="256">
        <f>+W84*('Jerarq. Riesgos Plazo'!$M$65/100+1)</f>
        <v>5.0059768449911033</v>
      </c>
      <c r="Y84" s="29"/>
      <c r="Z84" s="4"/>
      <c r="AA84" s="30"/>
      <c r="AB84" s="29"/>
      <c r="AC84" s="4">
        <v>5</v>
      </c>
      <c r="AD84" s="256">
        <f>+AC84*('Jerarq. Riesgos Plazo'!$M$65/100+1)</f>
        <v>5.0059768449911033</v>
      </c>
      <c r="AE84" s="29"/>
      <c r="AF84" s="4"/>
      <c r="AG84" s="30"/>
    </row>
    <row r="85" spans="2:33" ht="18" x14ac:dyDescent="0.25">
      <c r="B85" s="110" t="s">
        <v>435</v>
      </c>
      <c r="C85" s="115" t="s">
        <v>726</v>
      </c>
      <c r="D85" s="112" t="s">
        <v>443</v>
      </c>
      <c r="E85" s="113" t="s">
        <v>429</v>
      </c>
      <c r="F85" s="113">
        <v>7016</v>
      </c>
      <c r="G85" s="265">
        <v>3</v>
      </c>
      <c r="H85" s="114">
        <v>2500</v>
      </c>
      <c r="I85" s="129">
        <f t="shared" si="16"/>
        <v>17540000</v>
      </c>
      <c r="J85" s="343">
        <f>+K85-'Jerarq. Riesgos Plazo'!$K$77*'Aplicación proyecto BD'!K85</f>
        <v>2.7</v>
      </c>
      <c r="K85" s="4">
        <v>3</v>
      </c>
      <c r="L85" s="202">
        <f>+K85*('Jerarq. Riesgos Plazo'!$L$77+1)</f>
        <v>4.7492026391385318</v>
      </c>
      <c r="M85" s="64">
        <f>+N85*(-'Jerarq. Riesgos Costos'!$J$73+1)</f>
        <v>14032000</v>
      </c>
      <c r="N85" s="203">
        <f t="shared" si="18"/>
        <v>17540000</v>
      </c>
      <c r="O85" s="49">
        <f>+N85*('Jerarq. Riesgos Costos'!$K$73+1)</f>
        <v>23481510.894334063</v>
      </c>
      <c r="P85" s="64">
        <f>+Q85-Q85*'Jerarq. Riesgos Plazo'!$Q$77</f>
        <v>2.7</v>
      </c>
      <c r="Q85" s="4">
        <f t="shared" si="13"/>
        <v>3</v>
      </c>
      <c r="R85" s="264">
        <f>+Q85+Q85*'Jerarq. Riesgos Plazo'!$R$77</f>
        <v>4.2107567285060146</v>
      </c>
      <c r="S85" s="38">
        <f>+T85*(-'Jerarq. Riesgos Costos'!$P$73+1)</f>
        <v>14032000</v>
      </c>
      <c r="T85" s="203">
        <f t="shared" si="17"/>
        <v>17540000</v>
      </c>
      <c r="U85" s="34">
        <f>+T85*('Jerarq. Riesgos Costos'!$Q$73+1)</f>
        <v>22889043.577336259</v>
      </c>
      <c r="V85" s="29"/>
      <c r="W85" s="4">
        <v>3</v>
      </c>
      <c r="X85" s="256">
        <f>+W85*('Jerarq. Riesgos Plazo'!$M$65/100+1)</f>
        <v>3.0035861069946623</v>
      </c>
      <c r="Y85" s="29"/>
      <c r="Z85" s="4"/>
      <c r="AA85" s="30"/>
      <c r="AB85" s="29"/>
      <c r="AC85" s="4">
        <v>3</v>
      </c>
      <c r="AD85" s="256">
        <f>+AC85*('Jerarq. Riesgos Plazo'!$M$65/100+1)</f>
        <v>3.0035861069946623</v>
      </c>
      <c r="AE85" s="29"/>
      <c r="AF85" s="4"/>
      <c r="AG85" s="30"/>
    </row>
    <row r="86" spans="2:33" ht="18" x14ac:dyDescent="0.25">
      <c r="B86" s="110" t="s">
        <v>435</v>
      </c>
      <c r="C86" s="115" t="s">
        <v>727</v>
      </c>
      <c r="D86" s="112" t="s">
        <v>444</v>
      </c>
      <c r="E86" s="113" t="s">
        <v>445</v>
      </c>
      <c r="F86" s="113">
        <v>110</v>
      </c>
      <c r="G86" s="265">
        <v>2</v>
      </c>
      <c r="H86" s="114">
        <v>46100</v>
      </c>
      <c r="I86" s="129">
        <f t="shared" si="16"/>
        <v>5071000</v>
      </c>
      <c r="J86" s="343">
        <f>+K86-'Jerarq. Riesgos Plazo'!$K$77*'Aplicación proyecto BD'!K86</f>
        <v>1.8</v>
      </c>
      <c r="K86" s="4">
        <v>2</v>
      </c>
      <c r="L86" s="202">
        <f>+K86*('Jerarq. Riesgos Plazo'!$L$77+1)</f>
        <v>3.1661350927590211</v>
      </c>
      <c r="M86" s="64">
        <f>+N86*(-'Jerarq. Riesgos Costos'!$J$73+1)</f>
        <v>4056800</v>
      </c>
      <c r="N86" s="203">
        <f t="shared" si="18"/>
        <v>5071000</v>
      </c>
      <c r="O86" s="49">
        <f>+N86*('Jerarq. Riesgos Costos'!$K$73+1)</f>
        <v>6788753.8053117469</v>
      </c>
      <c r="P86" s="64">
        <f>+Q86-Q86*'Jerarq. Riesgos Plazo'!$Q$77</f>
        <v>1.8</v>
      </c>
      <c r="Q86" s="4">
        <f t="shared" si="13"/>
        <v>2</v>
      </c>
      <c r="R86" s="264">
        <f>+Q86+Q86*'Jerarq. Riesgos Plazo'!$R$77</f>
        <v>2.807171152337343</v>
      </c>
      <c r="S86" s="38">
        <f>+T86*(-'Jerarq. Riesgos Costos'!$P$73+1)</f>
        <v>4056800</v>
      </c>
      <c r="T86" s="203">
        <f t="shared" si="17"/>
        <v>5071000</v>
      </c>
      <c r="U86" s="34">
        <f>+T86*('Jerarq. Riesgos Costos'!$Q$73+1)</f>
        <v>6617465.2212469885</v>
      </c>
      <c r="V86" s="29"/>
      <c r="W86" s="4">
        <v>2</v>
      </c>
      <c r="X86" s="256">
        <f>+W86*('Jerarq. Riesgos Plazo'!$M$65/100+1)</f>
        <v>2.0023907379964414</v>
      </c>
      <c r="Y86" s="29"/>
      <c r="Z86" s="4"/>
      <c r="AA86" s="30"/>
      <c r="AB86" s="29"/>
      <c r="AC86" s="4">
        <v>2</v>
      </c>
      <c r="AD86" s="256">
        <f>+AC86*('Jerarq. Riesgos Plazo'!$M$65/100+1)</f>
        <v>2.0023907379964414</v>
      </c>
      <c r="AE86" s="29"/>
      <c r="AF86" s="4"/>
      <c r="AG86" s="30"/>
    </row>
    <row r="87" spans="2:33" ht="18" x14ac:dyDescent="0.25">
      <c r="B87" s="110" t="s">
        <v>435</v>
      </c>
      <c r="C87" s="115" t="s">
        <v>728</v>
      </c>
      <c r="D87" s="112" t="s">
        <v>446</v>
      </c>
      <c r="E87" s="113" t="s">
        <v>429</v>
      </c>
      <c r="F87" s="113">
        <v>299</v>
      </c>
      <c r="G87" s="265">
        <v>2</v>
      </c>
      <c r="H87" s="114">
        <v>5500</v>
      </c>
      <c r="I87" s="129">
        <f t="shared" si="16"/>
        <v>1644500</v>
      </c>
      <c r="J87" s="343">
        <f>+K87-'Jerarq. Riesgos Plazo'!$K$77*'Aplicación proyecto BD'!K87</f>
        <v>1.8</v>
      </c>
      <c r="K87" s="4">
        <v>2</v>
      </c>
      <c r="L87" s="202">
        <f>+K87*('Jerarq. Riesgos Plazo'!$L$77+1)</f>
        <v>3.1661350927590211</v>
      </c>
      <c r="M87" s="64">
        <f>+N87*(-'Jerarq. Riesgos Costos'!$J$73+1)</f>
        <v>1315600</v>
      </c>
      <c r="N87" s="203">
        <f t="shared" si="18"/>
        <v>1644500</v>
      </c>
      <c r="O87" s="49">
        <f>+N87*('Jerarq. Riesgos Costos'!$K$73+1)</f>
        <v>2201558.9889243082</v>
      </c>
      <c r="P87" s="64">
        <f>+Q87-Q87*'Jerarq. Riesgos Plazo'!$Q$77</f>
        <v>1.8</v>
      </c>
      <c r="Q87" s="4">
        <f t="shared" ref="Q87:Q148" si="26">+K87</f>
        <v>2</v>
      </c>
      <c r="R87" s="264">
        <f>+Q87+Q87*'Jerarq. Riesgos Plazo'!$R$77</f>
        <v>2.807171152337343</v>
      </c>
      <c r="S87" s="38">
        <f>+T87*(-'Jerarq. Riesgos Costos'!$P$73+1)</f>
        <v>1315600</v>
      </c>
      <c r="T87" s="203">
        <f t="shared" si="17"/>
        <v>1644500</v>
      </c>
      <c r="U87" s="34">
        <f>+T87*('Jerarq. Riesgos Costos'!$Q$73+1)</f>
        <v>2146010.9556972338</v>
      </c>
      <c r="V87" s="29"/>
      <c r="W87" s="4">
        <v>2</v>
      </c>
      <c r="X87" s="256">
        <f>+W87*('Jerarq. Riesgos Plazo'!$M$65/100+1)</f>
        <v>2.0023907379964414</v>
      </c>
      <c r="Y87" s="29"/>
      <c r="Z87" s="4"/>
      <c r="AA87" s="30"/>
      <c r="AB87" s="29"/>
      <c r="AC87" s="4">
        <v>2</v>
      </c>
      <c r="AD87" s="256">
        <f>+AC87*('Jerarq. Riesgos Plazo'!$M$65/100+1)</f>
        <v>2.0023907379964414</v>
      </c>
      <c r="AE87" s="29"/>
      <c r="AF87" s="4"/>
      <c r="AG87" s="30"/>
    </row>
    <row r="88" spans="2:33" ht="18" x14ac:dyDescent="0.25">
      <c r="B88" s="110" t="s">
        <v>435</v>
      </c>
      <c r="C88" s="115" t="s">
        <v>729</v>
      </c>
      <c r="D88" s="112" t="s">
        <v>447</v>
      </c>
      <c r="E88" s="113" t="s">
        <v>445</v>
      </c>
      <c r="F88" s="113">
        <v>9</v>
      </c>
      <c r="G88" s="265">
        <v>1</v>
      </c>
      <c r="H88" s="114">
        <v>35000</v>
      </c>
      <c r="I88" s="129">
        <f t="shared" si="16"/>
        <v>315000</v>
      </c>
      <c r="J88" s="343">
        <f>+K88-'Jerarq. Riesgos Plazo'!$K$77*'Aplicación proyecto BD'!K88</f>
        <v>0.9</v>
      </c>
      <c r="K88" s="4">
        <v>1</v>
      </c>
      <c r="L88" s="202">
        <f>+K88*('Jerarq. Riesgos Plazo'!$L$77+1)</f>
        <v>1.5830675463795105</v>
      </c>
      <c r="M88" s="64">
        <f>+N88*(-'Jerarq. Riesgos Costos'!$J$73+1)</f>
        <v>252000</v>
      </c>
      <c r="N88" s="203">
        <f t="shared" si="18"/>
        <v>315000</v>
      </c>
      <c r="O88" s="49">
        <f>+N88*('Jerarq. Riesgos Costos'!$K$73+1)</f>
        <v>421703.30283439165</v>
      </c>
      <c r="P88" s="64">
        <f>+Q88-Q88*'Jerarq. Riesgos Plazo'!$Q$77</f>
        <v>0.9</v>
      </c>
      <c r="Q88" s="4">
        <f t="shared" si="26"/>
        <v>1</v>
      </c>
      <c r="R88" s="264">
        <f>+Q88+Q88*'Jerarq. Riesgos Plazo'!$R$77</f>
        <v>1.4035855761686715</v>
      </c>
      <c r="S88" s="38">
        <f>+T88*(-'Jerarq. Riesgos Costos'!$P$73+1)</f>
        <v>252000</v>
      </c>
      <c r="T88" s="203">
        <f t="shared" si="17"/>
        <v>315000</v>
      </c>
      <c r="U88" s="34">
        <f>+T88*('Jerarq. Riesgos Costos'!$Q$73+1)</f>
        <v>411063.21133756684</v>
      </c>
      <c r="V88" s="29"/>
      <c r="W88" s="4">
        <v>1</v>
      </c>
      <c r="X88" s="256">
        <f>+W88*('Jerarq. Riesgos Plazo'!$M$65/100+1)</f>
        <v>1.0011953689982207</v>
      </c>
      <c r="Y88" s="29"/>
      <c r="Z88" s="4"/>
      <c r="AA88" s="30"/>
      <c r="AB88" s="29"/>
      <c r="AC88" s="4">
        <v>1</v>
      </c>
      <c r="AD88" s="256">
        <f>+AC88*('Jerarq. Riesgos Plazo'!$M$65/100+1)</f>
        <v>1.0011953689982207</v>
      </c>
      <c r="AE88" s="29"/>
      <c r="AF88" s="4"/>
      <c r="AG88" s="30"/>
    </row>
    <row r="89" spans="2:33" ht="18" x14ac:dyDescent="0.25">
      <c r="B89" s="110" t="s">
        <v>435</v>
      </c>
      <c r="C89" s="115" t="s">
        <v>730</v>
      </c>
      <c r="D89" s="112" t="s">
        <v>448</v>
      </c>
      <c r="E89" s="113" t="s">
        <v>429</v>
      </c>
      <c r="F89" s="113">
        <v>220</v>
      </c>
      <c r="G89" s="265">
        <v>0.3</v>
      </c>
      <c r="H89" s="114">
        <v>4000</v>
      </c>
      <c r="I89" s="129">
        <f t="shared" si="16"/>
        <v>880000</v>
      </c>
      <c r="J89" s="343">
        <f>+K89-'Jerarq. Riesgos Plazo'!$K$77*'Aplicación proyecto BD'!K89</f>
        <v>0.27</v>
      </c>
      <c r="K89" s="4">
        <v>0.3</v>
      </c>
      <c r="L89" s="202">
        <f>+K89*('Jerarq. Riesgos Plazo'!$L$77+1)</f>
        <v>0.47492026391385311</v>
      </c>
      <c r="M89" s="64">
        <f>+N89*(-'Jerarq. Riesgos Costos'!$J$73+1)</f>
        <v>704000</v>
      </c>
      <c r="N89" s="203">
        <f t="shared" si="18"/>
        <v>880000</v>
      </c>
      <c r="O89" s="49">
        <f>+N89*('Jerarq. Riesgos Costos'!$K$73+1)</f>
        <v>1178091.7666484592</v>
      </c>
      <c r="P89" s="64">
        <f>+Q89-Q89*'Jerarq. Riesgos Plazo'!$Q$77</f>
        <v>0.27</v>
      </c>
      <c r="Q89" s="4">
        <f t="shared" si="26"/>
        <v>0.3</v>
      </c>
      <c r="R89" s="264">
        <f>+Q89+Q89*'Jerarq. Riesgos Plazo'!$R$77</f>
        <v>0.42107567285060143</v>
      </c>
      <c r="S89" s="38">
        <f>+T89*(-'Jerarq. Riesgos Costos'!$P$73+1)</f>
        <v>704000</v>
      </c>
      <c r="T89" s="203">
        <f t="shared" si="17"/>
        <v>880000</v>
      </c>
      <c r="U89" s="34">
        <f>+T89*('Jerarq. Riesgos Costos'!$Q$73+1)</f>
        <v>1148367.0665938375</v>
      </c>
      <c r="V89" s="29"/>
      <c r="W89" s="4">
        <v>0.3</v>
      </c>
      <c r="X89" s="256">
        <f>+W89*('Jerarq. Riesgos Plazo'!$M$65/100+1)</f>
        <v>0.30035861069946618</v>
      </c>
      <c r="Y89" s="29"/>
      <c r="Z89" s="4"/>
      <c r="AA89" s="30"/>
      <c r="AB89" s="29"/>
      <c r="AC89" s="4">
        <v>0.3</v>
      </c>
      <c r="AD89" s="256">
        <f>+AC89*('Jerarq. Riesgos Plazo'!$M$65/100+1)</f>
        <v>0.30035861069946618</v>
      </c>
      <c r="AE89" s="29"/>
      <c r="AF89" s="4"/>
      <c r="AG89" s="30"/>
    </row>
    <row r="90" spans="2:33" ht="18" x14ac:dyDescent="0.25">
      <c r="B90" s="251" t="s">
        <v>656</v>
      </c>
      <c r="C90" s="251" t="s">
        <v>462</v>
      </c>
      <c r="D90" s="252" t="s">
        <v>498</v>
      </c>
      <c r="E90" s="253"/>
      <c r="F90" s="254"/>
      <c r="G90" s="261">
        <f>+SUM(G91:G109)</f>
        <v>10.399999999999999</v>
      </c>
      <c r="H90" s="255"/>
      <c r="I90" s="256">
        <f t="shared" ref="I90:O90" si="27">+SUM(I91:I109)</f>
        <v>21943500</v>
      </c>
      <c r="J90" s="261">
        <f t="shared" si="27"/>
        <v>9.3600000000000012</v>
      </c>
      <c r="K90" s="261">
        <f t="shared" si="27"/>
        <v>10.399999999999999</v>
      </c>
      <c r="L90" s="256">
        <f t="shared" si="27"/>
        <v>16.46390248234691</v>
      </c>
      <c r="M90" s="260">
        <f t="shared" si="27"/>
        <v>19749150</v>
      </c>
      <c r="N90" s="261">
        <f t="shared" si="27"/>
        <v>21943500</v>
      </c>
      <c r="O90" s="262">
        <f t="shared" si="27"/>
        <v>27401740.319830079</v>
      </c>
      <c r="P90" s="260">
        <f t="shared" ref="P90:U90" si="28">+SUM(P91:P109)</f>
        <v>9.3600000000000012</v>
      </c>
      <c r="Q90" s="261">
        <f t="shared" si="28"/>
        <v>10.399999999999999</v>
      </c>
      <c r="R90" s="262">
        <f t="shared" si="28"/>
        <v>14.597289992154185</v>
      </c>
      <c r="S90" s="368">
        <f t="shared" si="28"/>
        <v>19749150</v>
      </c>
      <c r="T90" s="261">
        <f t="shared" si="28"/>
        <v>21943500</v>
      </c>
      <c r="U90" s="262">
        <f t="shared" si="28"/>
        <v>27757706.279320311</v>
      </c>
      <c r="V90" s="260">
        <v>8</v>
      </c>
      <c r="W90" s="261">
        <f>+SUM(W91:W109)</f>
        <v>10.399999999999999</v>
      </c>
      <c r="X90" s="256">
        <f>+W90*('Jerarq. Riesgos Plazo'!$M$65/100+1)</f>
        <v>10.412431837581494</v>
      </c>
      <c r="Y90" s="260"/>
      <c r="Z90" s="261"/>
      <c r="AA90" s="262"/>
      <c r="AB90" s="260">
        <v>8</v>
      </c>
      <c r="AC90" s="261">
        <f>+SUM(AC91:AC109)</f>
        <v>10.399999999999999</v>
      </c>
      <c r="AD90" s="256">
        <f>+AC90*('Jerarq. Riesgos Plazo'!$M$65/100+1)</f>
        <v>10.412431837581494</v>
      </c>
      <c r="AE90" s="260"/>
      <c r="AF90" s="261"/>
      <c r="AG90" s="262"/>
    </row>
    <row r="91" spans="2:33" ht="18" x14ac:dyDescent="0.25">
      <c r="B91" s="110" t="s">
        <v>499</v>
      </c>
      <c r="C91" s="115" t="s">
        <v>731</v>
      </c>
      <c r="D91" s="112" t="s">
        <v>500</v>
      </c>
      <c r="E91" s="113" t="s">
        <v>453</v>
      </c>
      <c r="F91" s="113">
        <v>3</v>
      </c>
      <c r="G91" s="265">
        <v>0.1</v>
      </c>
      <c r="H91" s="114">
        <v>25000</v>
      </c>
      <c r="I91" s="129">
        <f t="shared" si="16"/>
        <v>75000</v>
      </c>
      <c r="J91" s="343">
        <f>+K91-'Jerarq. Riesgos Plazo'!$K$77*'Aplicación proyecto BD'!K91</f>
        <v>0.09</v>
      </c>
      <c r="K91" s="4">
        <v>0.1</v>
      </c>
      <c r="L91" s="202">
        <f>+K91*('Jerarq. Riesgos Plazo'!$L$77+1)</f>
        <v>0.15830675463795107</v>
      </c>
      <c r="M91" s="64">
        <f>+N91*(-'Jerarq. Riesgos Costos'!$J$76+1)</f>
        <v>67500</v>
      </c>
      <c r="N91" s="203">
        <f t="shared" si="18"/>
        <v>75000</v>
      </c>
      <c r="O91" s="49">
        <f>+N91*('Jerarq. Riesgos Costos'!$K$76+1)</f>
        <v>93655.548293902786</v>
      </c>
      <c r="P91" s="64">
        <f>+Q91-Q91*'Jerarq. Riesgos Plazo'!$Q$77</f>
        <v>0.09</v>
      </c>
      <c r="Q91" s="4">
        <f t="shared" si="26"/>
        <v>0.1</v>
      </c>
      <c r="R91" s="264">
        <f>+Q91+Q91*'Jerarq. Riesgos Plazo'!$R$77</f>
        <v>0.14035855761686716</v>
      </c>
      <c r="S91" s="38">
        <f>+T91*(-'Jerarq. Riesgos Costos'!$P$76+1)</f>
        <v>67500</v>
      </c>
      <c r="T91" s="203">
        <f t="shared" si="17"/>
        <v>75000</v>
      </c>
      <c r="U91" s="34">
        <f>+T91*('Jerarq. Riesgos Costos'!$Q$76+1)</f>
        <v>94872.193175611159</v>
      </c>
      <c r="V91" s="29"/>
      <c r="W91" s="4">
        <v>0.1</v>
      </c>
      <c r="X91" s="256">
        <f>+W91*('Jerarq. Riesgos Plazo'!$M$65/100+1)</f>
        <v>0.10011953689982207</v>
      </c>
      <c r="Y91" s="29"/>
      <c r="Z91" s="4"/>
      <c r="AA91" s="30"/>
      <c r="AB91" s="29"/>
      <c r="AC91" s="4">
        <v>0.1</v>
      </c>
      <c r="AD91" s="256">
        <f>+AC91*('Jerarq. Riesgos Plazo'!$M$65/100+1)</f>
        <v>0.10011953689982207</v>
      </c>
      <c r="AE91" s="29"/>
      <c r="AF91" s="4"/>
      <c r="AG91" s="30"/>
    </row>
    <row r="92" spans="2:33" ht="18" x14ac:dyDescent="0.25">
      <c r="B92" s="110" t="s">
        <v>499</v>
      </c>
      <c r="C92" s="115" t="s">
        <v>732</v>
      </c>
      <c r="D92" s="112" t="s">
        <v>501</v>
      </c>
      <c r="E92" s="113" t="s">
        <v>453</v>
      </c>
      <c r="F92" s="113">
        <v>3</v>
      </c>
      <c r="G92" s="265">
        <v>0.2</v>
      </c>
      <c r="H92" s="114">
        <v>25000</v>
      </c>
      <c r="I92" s="129">
        <f t="shared" ref="I92:I109" si="29">+F92*H92</f>
        <v>75000</v>
      </c>
      <c r="J92" s="343">
        <f>+K92-'Jerarq. Riesgos Plazo'!$K$77*'Aplicación proyecto BD'!K92</f>
        <v>0.18</v>
      </c>
      <c r="K92" s="4">
        <v>0.2</v>
      </c>
      <c r="L92" s="202">
        <f>+K92*('Jerarq. Riesgos Plazo'!$L$77+1)</f>
        <v>0.31661350927590215</v>
      </c>
      <c r="M92" s="64">
        <f>+N92*(-'Jerarq. Riesgos Costos'!$J$76+1)</f>
        <v>67500</v>
      </c>
      <c r="N92" s="203">
        <f t="shared" si="18"/>
        <v>75000</v>
      </c>
      <c r="O92" s="49">
        <f>+N92*('Jerarq. Riesgos Costos'!$K$76+1)</f>
        <v>93655.548293902786</v>
      </c>
      <c r="P92" s="64">
        <f>+Q92-Q92*'Jerarq. Riesgos Plazo'!$Q$77</f>
        <v>0.18</v>
      </c>
      <c r="Q92" s="4">
        <f t="shared" si="26"/>
        <v>0.2</v>
      </c>
      <c r="R92" s="264">
        <f>+Q92+Q92*'Jerarq. Riesgos Plazo'!$R$77</f>
        <v>0.28071711523373433</v>
      </c>
      <c r="S92" s="38">
        <f>+T92*(-'Jerarq. Riesgos Costos'!$P$76+1)</f>
        <v>67500</v>
      </c>
      <c r="T92" s="203">
        <f t="shared" ref="T92:T148" si="30">+N92</f>
        <v>75000</v>
      </c>
      <c r="U92" s="34">
        <f>+T92*('Jerarq. Riesgos Costos'!$Q$76+1)</f>
        <v>94872.193175611159</v>
      </c>
      <c r="V92" s="29"/>
      <c r="W92" s="4">
        <v>0.2</v>
      </c>
      <c r="X92" s="256">
        <f>+W92*('Jerarq. Riesgos Plazo'!$M$65/100+1)</f>
        <v>0.20023907379964415</v>
      </c>
      <c r="Y92" s="29"/>
      <c r="Z92" s="4"/>
      <c r="AA92" s="30"/>
      <c r="AB92" s="29"/>
      <c r="AC92" s="4">
        <v>0.2</v>
      </c>
      <c r="AD92" s="256">
        <f>+AC92*('Jerarq. Riesgos Plazo'!$M$65/100+1)</f>
        <v>0.20023907379964415</v>
      </c>
      <c r="AE92" s="29"/>
      <c r="AF92" s="4"/>
      <c r="AG92" s="30"/>
    </row>
    <row r="93" spans="2:33" ht="18" x14ac:dyDescent="0.25">
      <c r="B93" s="110" t="s">
        <v>499</v>
      </c>
      <c r="C93" s="115" t="s">
        <v>733</v>
      </c>
      <c r="D93" s="112" t="s">
        <v>502</v>
      </c>
      <c r="E93" s="113" t="s">
        <v>453</v>
      </c>
      <c r="F93" s="113">
        <v>1</v>
      </c>
      <c r="G93" s="265">
        <v>0.1</v>
      </c>
      <c r="H93" s="114">
        <v>125000</v>
      </c>
      <c r="I93" s="129">
        <f t="shared" si="29"/>
        <v>125000</v>
      </c>
      <c r="J93" s="343">
        <f>+K93-'Jerarq. Riesgos Plazo'!$K$77*'Aplicación proyecto BD'!K93</f>
        <v>0.09</v>
      </c>
      <c r="K93" s="4">
        <v>0.1</v>
      </c>
      <c r="L93" s="202">
        <f>+K93*('Jerarq. Riesgos Plazo'!$L$77+1)</f>
        <v>0.15830675463795107</v>
      </c>
      <c r="M93" s="64">
        <f>+N93*(-'Jerarq. Riesgos Costos'!$J$76+1)</f>
        <v>112500</v>
      </c>
      <c r="N93" s="203">
        <f t="shared" ref="N93:N109" si="31">+I93</f>
        <v>125000</v>
      </c>
      <c r="O93" s="49">
        <f>+N93*('Jerarq. Riesgos Costos'!$K$76+1)</f>
        <v>156092.58048983797</v>
      </c>
      <c r="P93" s="64">
        <f>+Q93-Q93*'Jerarq. Riesgos Plazo'!$Q$77</f>
        <v>0.09</v>
      </c>
      <c r="Q93" s="4">
        <f t="shared" si="26"/>
        <v>0.1</v>
      </c>
      <c r="R93" s="264">
        <f>+Q93+Q93*'Jerarq. Riesgos Plazo'!$R$77</f>
        <v>0.14035855761686716</v>
      </c>
      <c r="S93" s="38">
        <f>+T93*(-'Jerarq. Riesgos Costos'!$P$76+1)</f>
        <v>112500</v>
      </c>
      <c r="T93" s="203">
        <f t="shared" si="30"/>
        <v>125000</v>
      </c>
      <c r="U93" s="34">
        <f>+T93*('Jerarq. Riesgos Costos'!$Q$76+1)</f>
        <v>158120.32195935195</v>
      </c>
      <c r="V93" s="29"/>
      <c r="W93" s="4">
        <v>0.1</v>
      </c>
      <c r="X93" s="256">
        <f>+W93*('Jerarq. Riesgos Plazo'!$M$65/100+1)</f>
        <v>0.10011953689982207</v>
      </c>
      <c r="Y93" s="29"/>
      <c r="Z93" s="4"/>
      <c r="AA93" s="30"/>
      <c r="AB93" s="29"/>
      <c r="AC93" s="4">
        <v>0.1</v>
      </c>
      <c r="AD93" s="256">
        <f>+AC93*('Jerarq. Riesgos Plazo'!$M$65/100+1)</f>
        <v>0.10011953689982207</v>
      </c>
      <c r="AE93" s="29"/>
      <c r="AF93" s="4"/>
      <c r="AG93" s="30"/>
    </row>
    <row r="94" spans="2:33" ht="18" x14ac:dyDescent="0.25">
      <c r="B94" s="110" t="s">
        <v>499</v>
      </c>
      <c r="C94" s="115" t="s">
        <v>734</v>
      </c>
      <c r="D94" s="112" t="s">
        <v>503</v>
      </c>
      <c r="E94" s="113" t="s">
        <v>472</v>
      </c>
      <c r="F94" s="113">
        <v>250</v>
      </c>
      <c r="G94" s="265">
        <v>0.6</v>
      </c>
      <c r="H94" s="114">
        <v>4000</v>
      </c>
      <c r="I94" s="129">
        <f t="shared" si="29"/>
        <v>1000000</v>
      </c>
      <c r="J94" s="343">
        <f>+K94-'Jerarq. Riesgos Plazo'!$K$77*'Aplicación proyecto BD'!K94</f>
        <v>0.54</v>
      </c>
      <c r="K94" s="4">
        <v>0.6</v>
      </c>
      <c r="L94" s="202">
        <f>+K94*('Jerarq. Riesgos Plazo'!$L$77+1)</f>
        <v>0.94984052782770623</v>
      </c>
      <c r="M94" s="64">
        <f>+N94*(-'Jerarq. Riesgos Costos'!$J$76+1)</f>
        <v>900000</v>
      </c>
      <c r="N94" s="203">
        <f t="shared" si="31"/>
        <v>1000000</v>
      </c>
      <c r="O94" s="49">
        <f>+N94*('Jerarq. Riesgos Costos'!$K$76+1)</f>
        <v>1248740.6439187038</v>
      </c>
      <c r="P94" s="64">
        <f>+Q94-Q94*'Jerarq. Riesgos Plazo'!$Q$77</f>
        <v>0.54</v>
      </c>
      <c r="Q94" s="4">
        <f t="shared" si="26"/>
        <v>0.6</v>
      </c>
      <c r="R94" s="264">
        <f>+Q94+Q94*'Jerarq. Riesgos Plazo'!$R$77</f>
        <v>0.84215134570120287</v>
      </c>
      <c r="S94" s="38">
        <f>+T94*(-'Jerarq. Riesgos Costos'!$P$76+1)</f>
        <v>900000</v>
      </c>
      <c r="T94" s="203">
        <f t="shared" si="30"/>
        <v>1000000</v>
      </c>
      <c r="U94" s="34">
        <f>+T94*('Jerarq. Riesgos Costos'!$Q$76+1)</f>
        <v>1264962.5756748156</v>
      </c>
      <c r="V94" s="29"/>
      <c r="W94" s="4">
        <v>0.6</v>
      </c>
      <c r="X94" s="256">
        <f>+W94*('Jerarq. Riesgos Plazo'!$M$65/100+1)</f>
        <v>0.60071722139893236</v>
      </c>
      <c r="Y94" s="29"/>
      <c r="Z94" s="4"/>
      <c r="AA94" s="30"/>
      <c r="AB94" s="29"/>
      <c r="AC94" s="4">
        <v>0.6</v>
      </c>
      <c r="AD94" s="256">
        <f>+AC94*('Jerarq. Riesgos Plazo'!$M$65/100+1)</f>
        <v>0.60071722139893236</v>
      </c>
      <c r="AE94" s="29"/>
      <c r="AF94" s="4"/>
      <c r="AG94" s="30"/>
    </row>
    <row r="95" spans="2:33" ht="18" x14ac:dyDescent="0.25">
      <c r="B95" s="110" t="s">
        <v>499</v>
      </c>
      <c r="C95" s="115" t="s">
        <v>735</v>
      </c>
      <c r="D95" s="112" t="s">
        <v>504</v>
      </c>
      <c r="E95" s="113" t="s">
        <v>472</v>
      </c>
      <c r="F95" s="113">
        <v>250</v>
      </c>
      <c r="G95" s="265">
        <v>0.5</v>
      </c>
      <c r="H95" s="114">
        <v>14749</v>
      </c>
      <c r="I95" s="129">
        <f t="shared" si="29"/>
        <v>3687250</v>
      </c>
      <c r="J95" s="343">
        <f>+K95-'Jerarq. Riesgos Plazo'!$K$77*'Aplicación proyecto BD'!K95</f>
        <v>0.45</v>
      </c>
      <c r="K95" s="4">
        <v>0.5</v>
      </c>
      <c r="L95" s="202">
        <f>+K95*('Jerarq. Riesgos Plazo'!$L$77+1)</f>
        <v>0.79153377318975526</v>
      </c>
      <c r="M95" s="64">
        <f>+N95*(-'Jerarq. Riesgos Costos'!$J$76+1)</f>
        <v>3318525</v>
      </c>
      <c r="N95" s="203">
        <f t="shared" si="31"/>
        <v>3687250</v>
      </c>
      <c r="O95" s="49">
        <f>+N95*('Jerarq. Riesgos Costos'!$K$76+1)</f>
        <v>4604418.9392892411</v>
      </c>
      <c r="P95" s="64">
        <f>+Q95-Q95*'Jerarq. Riesgos Plazo'!$Q$77</f>
        <v>0.45</v>
      </c>
      <c r="Q95" s="4">
        <f t="shared" si="26"/>
        <v>0.5</v>
      </c>
      <c r="R95" s="264">
        <f>+Q95+Q95*'Jerarq. Riesgos Plazo'!$R$77</f>
        <v>0.70179278808433576</v>
      </c>
      <c r="S95" s="38">
        <f>+T95*(-'Jerarq. Riesgos Costos'!$P$76+1)</f>
        <v>3318525</v>
      </c>
      <c r="T95" s="203">
        <f t="shared" si="30"/>
        <v>3687250</v>
      </c>
      <c r="U95" s="34">
        <f>+T95*('Jerarq. Riesgos Costos'!$Q$76+1)</f>
        <v>4664233.2571569635</v>
      </c>
      <c r="V95" s="29"/>
      <c r="W95" s="4">
        <v>0.5</v>
      </c>
      <c r="X95" s="256">
        <f>+W95*('Jerarq. Riesgos Plazo'!$M$65/100+1)</f>
        <v>0.50059768449911035</v>
      </c>
      <c r="Y95" s="29"/>
      <c r="Z95" s="4"/>
      <c r="AA95" s="30"/>
      <c r="AB95" s="29"/>
      <c r="AC95" s="4">
        <v>0.5</v>
      </c>
      <c r="AD95" s="256">
        <f>+AC95*('Jerarq. Riesgos Plazo'!$M$65/100+1)</f>
        <v>0.50059768449911035</v>
      </c>
      <c r="AE95" s="29"/>
      <c r="AF95" s="4"/>
      <c r="AG95" s="30"/>
    </row>
    <row r="96" spans="2:33" ht="18" x14ac:dyDescent="0.25">
      <c r="B96" s="110" t="s">
        <v>499</v>
      </c>
      <c r="C96" s="115" t="s">
        <v>736</v>
      </c>
      <c r="D96" s="112" t="s">
        <v>663</v>
      </c>
      <c r="E96" s="113" t="s">
        <v>453</v>
      </c>
      <c r="F96" s="113">
        <v>10</v>
      </c>
      <c r="G96" s="265">
        <v>0.3</v>
      </c>
      <c r="H96" s="114">
        <v>50000</v>
      </c>
      <c r="I96" s="129">
        <f t="shared" si="29"/>
        <v>500000</v>
      </c>
      <c r="J96" s="343">
        <f>+K96-'Jerarq. Riesgos Plazo'!$K$77*'Aplicación proyecto BD'!K96</f>
        <v>0.27</v>
      </c>
      <c r="K96" s="4">
        <v>0.3</v>
      </c>
      <c r="L96" s="202">
        <f>+K96*('Jerarq. Riesgos Plazo'!$L$77+1)</f>
        <v>0.47492026391385311</v>
      </c>
      <c r="M96" s="64">
        <f>+N96*(-'Jerarq. Riesgos Costos'!$J$76+1)</f>
        <v>450000</v>
      </c>
      <c r="N96" s="203">
        <f t="shared" si="31"/>
        <v>500000</v>
      </c>
      <c r="O96" s="49">
        <f>+N96*('Jerarq. Riesgos Costos'!$K$76+1)</f>
        <v>624370.32195935189</v>
      </c>
      <c r="P96" s="64">
        <f>+Q96-Q96*'Jerarq. Riesgos Plazo'!$Q$77</f>
        <v>0.27</v>
      </c>
      <c r="Q96" s="4">
        <f t="shared" si="26"/>
        <v>0.3</v>
      </c>
      <c r="R96" s="264">
        <f>+Q96+Q96*'Jerarq. Riesgos Plazo'!$R$77</f>
        <v>0.42107567285060143</v>
      </c>
      <c r="S96" s="38">
        <f>+T96*(-'Jerarq. Riesgos Costos'!$P$76+1)</f>
        <v>450000</v>
      </c>
      <c r="T96" s="203">
        <f t="shared" si="30"/>
        <v>500000</v>
      </c>
      <c r="U96" s="34">
        <f>+T96*('Jerarq. Riesgos Costos'!$Q$76+1)</f>
        <v>632481.28783740778</v>
      </c>
      <c r="V96" s="29"/>
      <c r="W96" s="4">
        <v>0.3</v>
      </c>
      <c r="X96" s="256">
        <f>+W96*('Jerarq. Riesgos Plazo'!$M$65/100+1)</f>
        <v>0.30035861069946618</v>
      </c>
      <c r="Y96" s="29"/>
      <c r="Z96" s="4"/>
      <c r="AA96" s="30"/>
      <c r="AB96" s="29"/>
      <c r="AC96" s="4">
        <v>0.3</v>
      </c>
      <c r="AD96" s="256">
        <f>+AC96*('Jerarq. Riesgos Plazo'!$M$65/100+1)</f>
        <v>0.30035861069946618</v>
      </c>
      <c r="AE96" s="29"/>
      <c r="AF96" s="4"/>
      <c r="AG96" s="30"/>
    </row>
    <row r="97" spans="2:33" ht="18" x14ac:dyDescent="0.25">
      <c r="B97" s="110" t="s">
        <v>499</v>
      </c>
      <c r="C97" s="115" t="s">
        <v>737</v>
      </c>
      <c r="D97" s="112" t="s">
        <v>515</v>
      </c>
      <c r="E97" s="113" t="s">
        <v>472</v>
      </c>
      <c r="F97" s="113">
        <v>30</v>
      </c>
      <c r="G97" s="265">
        <v>0.1</v>
      </c>
      <c r="H97" s="114">
        <v>12000</v>
      </c>
      <c r="I97" s="129">
        <f t="shared" si="29"/>
        <v>360000</v>
      </c>
      <c r="J97" s="343">
        <f>+K97-'Jerarq. Riesgos Plazo'!$K$77*'Aplicación proyecto BD'!K97</f>
        <v>0.09</v>
      </c>
      <c r="K97" s="4">
        <v>0.1</v>
      </c>
      <c r="L97" s="202">
        <f>+K97*('Jerarq. Riesgos Plazo'!$L$77+1)</f>
        <v>0.15830675463795107</v>
      </c>
      <c r="M97" s="64">
        <f>+N97*(-'Jerarq. Riesgos Costos'!$J$76+1)</f>
        <v>324000</v>
      </c>
      <c r="N97" s="203">
        <f t="shared" si="31"/>
        <v>360000</v>
      </c>
      <c r="O97" s="49">
        <f>+N97*('Jerarq. Riesgos Costos'!$K$76+1)</f>
        <v>449546.63181073341</v>
      </c>
      <c r="P97" s="64">
        <f>+Q97-Q97*'Jerarq. Riesgos Plazo'!$Q$77</f>
        <v>0.09</v>
      </c>
      <c r="Q97" s="4">
        <f t="shared" si="26"/>
        <v>0.1</v>
      </c>
      <c r="R97" s="264">
        <f>+Q97+Q97*'Jerarq. Riesgos Plazo'!$R$77</f>
        <v>0.14035855761686716</v>
      </c>
      <c r="S97" s="38">
        <f>+T97*(-'Jerarq. Riesgos Costos'!$P$76+1)</f>
        <v>324000</v>
      </c>
      <c r="T97" s="203">
        <f t="shared" si="30"/>
        <v>360000</v>
      </c>
      <c r="U97" s="34">
        <f>+T97*('Jerarq. Riesgos Costos'!$Q$76+1)</f>
        <v>455386.52724293357</v>
      </c>
      <c r="V97" s="29"/>
      <c r="W97" s="4">
        <v>0.1</v>
      </c>
      <c r="X97" s="256">
        <f>+W97*('Jerarq. Riesgos Plazo'!$M$65/100+1)</f>
        <v>0.10011953689982207</v>
      </c>
      <c r="Y97" s="29"/>
      <c r="Z97" s="4"/>
      <c r="AA97" s="30"/>
      <c r="AB97" s="29"/>
      <c r="AC97" s="4">
        <v>0.1</v>
      </c>
      <c r="AD97" s="256">
        <f>+AC97*('Jerarq. Riesgos Plazo'!$M$65/100+1)</f>
        <v>0.10011953689982207</v>
      </c>
      <c r="AE97" s="29"/>
      <c r="AF97" s="4"/>
      <c r="AG97" s="30"/>
    </row>
    <row r="98" spans="2:33" ht="18" x14ac:dyDescent="0.25">
      <c r="B98" s="110" t="s">
        <v>499</v>
      </c>
      <c r="C98" s="115" t="s">
        <v>738</v>
      </c>
      <c r="D98" s="112" t="s">
        <v>505</v>
      </c>
      <c r="E98" s="113" t="s">
        <v>453</v>
      </c>
      <c r="F98" s="113">
        <v>1</v>
      </c>
      <c r="G98" s="265">
        <v>0.1</v>
      </c>
      <c r="H98" s="114">
        <v>50000</v>
      </c>
      <c r="I98" s="129">
        <f t="shared" si="29"/>
        <v>50000</v>
      </c>
      <c r="J98" s="343">
        <f>+K98-'Jerarq. Riesgos Plazo'!$K$77*'Aplicación proyecto BD'!K98</f>
        <v>0.09</v>
      </c>
      <c r="K98" s="4">
        <v>0.1</v>
      </c>
      <c r="L98" s="202">
        <f>+K98*('Jerarq. Riesgos Plazo'!$L$77+1)</f>
        <v>0.15830675463795107</v>
      </c>
      <c r="M98" s="64">
        <f>+N98*(-'Jerarq. Riesgos Costos'!$J$76+1)</f>
        <v>45000</v>
      </c>
      <c r="N98" s="203">
        <f t="shared" si="31"/>
        <v>50000</v>
      </c>
      <c r="O98" s="49">
        <f>+N98*('Jerarq. Riesgos Costos'!$K$76+1)</f>
        <v>62437.032195935193</v>
      </c>
      <c r="P98" s="64">
        <f>+Q98-Q98*'Jerarq. Riesgos Plazo'!$Q$77</f>
        <v>0.09</v>
      </c>
      <c r="Q98" s="4">
        <f t="shared" si="26"/>
        <v>0.1</v>
      </c>
      <c r="R98" s="264">
        <f>+Q98+Q98*'Jerarq. Riesgos Plazo'!$R$77</f>
        <v>0.14035855761686716</v>
      </c>
      <c r="S98" s="38">
        <f>+T98*(-'Jerarq. Riesgos Costos'!$P$76+1)</f>
        <v>45000</v>
      </c>
      <c r="T98" s="203">
        <f t="shared" si="30"/>
        <v>50000</v>
      </c>
      <c r="U98" s="34">
        <f>+T98*('Jerarq. Riesgos Costos'!$Q$76+1)</f>
        <v>63248.128783740773</v>
      </c>
      <c r="V98" s="29"/>
      <c r="W98" s="4">
        <v>0.1</v>
      </c>
      <c r="X98" s="256">
        <f>+W98*('Jerarq. Riesgos Plazo'!$M$65/100+1)</f>
        <v>0.10011953689982207</v>
      </c>
      <c r="Y98" s="29"/>
      <c r="Z98" s="4"/>
      <c r="AA98" s="30"/>
      <c r="AB98" s="29"/>
      <c r="AC98" s="4">
        <v>0.1</v>
      </c>
      <c r="AD98" s="256">
        <f>+AC98*('Jerarq. Riesgos Plazo'!$M$65/100+1)</f>
        <v>0.10011953689982207</v>
      </c>
      <c r="AE98" s="29"/>
      <c r="AF98" s="4"/>
      <c r="AG98" s="30"/>
    </row>
    <row r="99" spans="2:33" ht="18" x14ac:dyDescent="0.25">
      <c r="B99" s="110" t="s">
        <v>499</v>
      </c>
      <c r="C99" s="115" t="s">
        <v>739</v>
      </c>
      <c r="D99" s="112" t="s">
        <v>506</v>
      </c>
      <c r="E99" s="113" t="s">
        <v>472</v>
      </c>
      <c r="F99" s="113">
        <v>250</v>
      </c>
      <c r="G99" s="265">
        <v>2</v>
      </c>
      <c r="H99" s="114">
        <v>14749</v>
      </c>
      <c r="I99" s="129">
        <f t="shared" si="29"/>
        <v>3687250</v>
      </c>
      <c r="J99" s="343">
        <f>+K99-'Jerarq. Riesgos Plazo'!$K$77*'Aplicación proyecto BD'!K99</f>
        <v>1.8</v>
      </c>
      <c r="K99" s="4">
        <v>2</v>
      </c>
      <c r="L99" s="202">
        <f>+K99*('Jerarq. Riesgos Plazo'!$L$77+1)</f>
        <v>3.1661350927590211</v>
      </c>
      <c r="M99" s="64">
        <f>+N99*(-'Jerarq. Riesgos Costos'!$J$76+1)</f>
        <v>3318525</v>
      </c>
      <c r="N99" s="203">
        <f t="shared" si="31"/>
        <v>3687250</v>
      </c>
      <c r="O99" s="49">
        <f>+N99*('Jerarq. Riesgos Costos'!$K$76+1)</f>
        <v>4604418.9392892411</v>
      </c>
      <c r="P99" s="64">
        <f>+Q99-Q99*'Jerarq. Riesgos Plazo'!$Q$77</f>
        <v>1.8</v>
      </c>
      <c r="Q99" s="4">
        <f t="shared" si="26"/>
        <v>2</v>
      </c>
      <c r="R99" s="264">
        <f>+Q99+Q99*'Jerarq. Riesgos Plazo'!$R$77</f>
        <v>2.807171152337343</v>
      </c>
      <c r="S99" s="38">
        <f>+T99*(-'Jerarq. Riesgos Costos'!$P$76+1)</f>
        <v>3318525</v>
      </c>
      <c r="T99" s="203">
        <f t="shared" si="30"/>
        <v>3687250</v>
      </c>
      <c r="U99" s="34">
        <f>+T99*('Jerarq. Riesgos Costos'!$Q$76+1)</f>
        <v>4664233.2571569635</v>
      </c>
      <c r="V99" s="29"/>
      <c r="W99" s="4">
        <v>2</v>
      </c>
      <c r="X99" s="256">
        <f>+W99*('Jerarq. Riesgos Plazo'!$M$65/100+1)</f>
        <v>2.0023907379964414</v>
      </c>
      <c r="Y99" s="29"/>
      <c r="Z99" s="4"/>
      <c r="AA99" s="30"/>
      <c r="AB99" s="29"/>
      <c r="AC99" s="4">
        <v>2</v>
      </c>
      <c r="AD99" s="256">
        <f>+AC99*('Jerarq. Riesgos Plazo'!$M$65/100+1)</f>
        <v>2.0023907379964414</v>
      </c>
      <c r="AE99" s="29"/>
      <c r="AF99" s="4"/>
      <c r="AG99" s="30"/>
    </row>
    <row r="100" spans="2:33" ht="18" x14ac:dyDescent="0.25">
      <c r="B100" s="110" t="s">
        <v>499</v>
      </c>
      <c r="C100" s="115" t="s">
        <v>740</v>
      </c>
      <c r="D100" s="112" t="s">
        <v>507</v>
      </c>
      <c r="E100" s="113" t="s">
        <v>472</v>
      </c>
      <c r="F100" s="113">
        <v>250</v>
      </c>
      <c r="G100" s="265">
        <v>0.1</v>
      </c>
      <c r="H100" s="114">
        <v>4000</v>
      </c>
      <c r="I100" s="129">
        <f t="shared" si="29"/>
        <v>1000000</v>
      </c>
      <c r="J100" s="343">
        <f>+K100-'Jerarq. Riesgos Plazo'!$K$77*'Aplicación proyecto BD'!K100</f>
        <v>0.09</v>
      </c>
      <c r="K100" s="4">
        <v>0.1</v>
      </c>
      <c r="L100" s="202">
        <f>+K100*('Jerarq. Riesgos Plazo'!$L$77+1)</f>
        <v>0.15830675463795107</v>
      </c>
      <c r="M100" s="64">
        <f>+N100*(-'Jerarq. Riesgos Costos'!$J$76+1)</f>
        <v>900000</v>
      </c>
      <c r="N100" s="203">
        <f t="shared" si="31"/>
        <v>1000000</v>
      </c>
      <c r="O100" s="49">
        <f>+N100*('Jerarq. Riesgos Costos'!$K$76+1)</f>
        <v>1248740.6439187038</v>
      </c>
      <c r="P100" s="64">
        <f>+Q100-Q100*'Jerarq. Riesgos Plazo'!$Q$77</f>
        <v>0.09</v>
      </c>
      <c r="Q100" s="4">
        <f t="shared" si="26"/>
        <v>0.1</v>
      </c>
      <c r="R100" s="264">
        <f>+Q100+Q100*'Jerarq. Riesgos Plazo'!$R$77</f>
        <v>0.14035855761686716</v>
      </c>
      <c r="S100" s="38">
        <f>+T100*(-'Jerarq. Riesgos Costos'!$P$76+1)</f>
        <v>900000</v>
      </c>
      <c r="T100" s="203">
        <f t="shared" si="30"/>
        <v>1000000</v>
      </c>
      <c r="U100" s="34">
        <f>+T100*('Jerarq. Riesgos Costos'!$Q$76+1)</f>
        <v>1264962.5756748156</v>
      </c>
      <c r="V100" s="29"/>
      <c r="W100" s="4">
        <v>0.1</v>
      </c>
      <c r="X100" s="256">
        <f>+W100*('Jerarq. Riesgos Plazo'!$M$65/100+1)</f>
        <v>0.10011953689982207</v>
      </c>
      <c r="Y100" s="29"/>
      <c r="Z100" s="4"/>
      <c r="AA100" s="30"/>
      <c r="AB100" s="29"/>
      <c r="AC100" s="4">
        <v>0.1</v>
      </c>
      <c r="AD100" s="256">
        <f>+AC100*('Jerarq. Riesgos Plazo'!$M$65/100+1)</f>
        <v>0.10011953689982207</v>
      </c>
      <c r="AE100" s="29"/>
      <c r="AF100" s="4"/>
      <c r="AG100" s="30"/>
    </row>
    <row r="101" spans="2:33" ht="18" x14ac:dyDescent="0.25">
      <c r="B101" s="110" t="s">
        <v>499</v>
      </c>
      <c r="C101" s="115" t="s">
        <v>741</v>
      </c>
      <c r="D101" s="112" t="s">
        <v>508</v>
      </c>
      <c r="E101" s="113" t="s">
        <v>453</v>
      </c>
      <c r="F101" s="113">
        <v>1</v>
      </c>
      <c r="G101" s="265">
        <v>1</v>
      </c>
      <c r="H101" s="114">
        <v>100000</v>
      </c>
      <c r="I101" s="129">
        <f t="shared" si="29"/>
        <v>100000</v>
      </c>
      <c r="J101" s="343">
        <f>+K101-'Jerarq. Riesgos Plazo'!$K$77*'Aplicación proyecto BD'!K101</f>
        <v>0.9</v>
      </c>
      <c r="K101" s="4">
        <v>1</v>
      </c>
      <c r="L101" s="202">
        <f>+K101*('Jerarq. Riesgos Plazo'!$L$77+1)</f>
        <v>1.5830675463795105</v>
      </c>
      <c r="M101" s="64">
        <f>+N101*(-'Jerarq. Riesgos Costos'!$J$76+1)</f>
        <v>90000</v>
      </c>
      <c r="N101" s="203">
        <f t="shared" si="31"/>
        <v>100000</v>
      </c>
      <c r="O101" s="49">
        <f>+N101*('Jerarq. Riesgos Costos'!$K$76+1)</f>
        <v>124874.06439187039</v>
      </c>
      <c r="P101" s="64">
        <f>+Q101-Q101*'Jerarq. Riesgos Plazo'!$Q$77</f>
        <v>0.9</v>
      </c>
      <c r="Q101" s="4">
        <f t="shared" si="26"/>
        <v>1</v>
      </c>
      <c r="R101" s="264">
        <f>+Q101+Q101*'Jerarq. Riesgos Plazo'!$R$77</f>
        <v>1.4035855761686715</v>
      </c>
      <c r="S101" s="38">
        <f>+T101*(-'Jerarq. Riesgos Costos'!$P$76+1)</f>
        <v>90000</v>
      </c>
      <c r="T101" s="203">
        <f t="shared" si="30"/>
        <v>100000</v>
      </c>
      <c r="U101" s="34">
        <f>+T101*('Jerarq. Riesgos Costos'!$Q$76+1)</f>
        <v>126496.25756748155</v>
      </c>
      <c r="V101" s="29"/>
      <c r="W101" s="4">
        <v>1</v>
      </c>
      <c r="X101" s="256">
        <f>+W101*('Jerarq. Riesgos Plazo'!$M$65/100+1)</f>
        <v>1.0011953689982207</v>
      </c>
      <c r="Y101" s="29"/>
      <c r="Z101" s="4"/>
      <c r="AA101" s="30"/>
      <c r="AB101" s="29"/>
      <c r="AC101" s="4">
        <v>1</v>
      </c>
      <c r="AD101" s="256">
        <f>+AC101*('Jerarq. Riesgos Plazo'!$M$65/100+1)</f>
        <v>1.0011953689982207</v>
      </c>
      <c r="AE101" s="29"/>
      <c r="AF101" s="4"/>
      <c r="AG101" s="30"/>
    </row>
    <row r="102" spans="2:33" ht="18" x14ac:dyDescent="0.25">
      <c r="B102" s="110" t="s">
        <v>499</v>
      </c>
      <c r="C102" s="115" t="s">
        <v>742</v>
      </c>
      <c r="D102" s="112" t="s">
        <v>509</v>
      </c>
      <c r="E102" s="113" t="s">
        <v>453</v>
      </c>
      <c r="F102" s="113">
        <v>4</v>
      </c>
      <c r="G102" s="265">
        <v>0.5</v>
      </c>
      <c r="H102" s="114">
        <v>600000</v>
      </c>
      <c r="I102" s="129">
        <f t="shared" si="29"/>
        <v>2400000</v>
      </c>
      <c r="J102" s="343">
        <f>+K102-'Jerarq. Riesgos Plazo'!$K$77*'Aplicación proyecto BD'!K102</f>
        <v>0.45</v>
      </c>
      <c r="K102" s="4">
        <v>0.5</v>
      </c>
      <c r="L102" s="202">
        <f>+K102*('Jerarq. Riesgos Plazo'!$L$77+1)</f>
        <v>0.79153377318975526</v>
      </c>
      <c r="M102" s="64">
        <f>+N102*(-'Jerarq. Riesgos Costos'!$J$76+1)</f>
        <v>2160000</v>
      </c>
      <c r="N102" s="203">
        <f t="shared" si="31"/>
        <v>2400000</v>
      </c>
      <c r="O102" s="49">
        <f>+N102*('Jerarq. Riesgos Costos'!$K$76+1)</f>
        <v>2996977.5454048892</v>
      </c>
      <c r="P102" s="64">
        <f>+Q102-Q102*'Jerarq. Riesgos Plazo'!$Q$77</f>
        <v>0.45</v>
      </c>
      <c r="Q102" s="4">
        <f t="shared" si="26"/>
        <v>0.5</v>
      </c>
      <c r="R102" s="264">
        <f>+Q102+Q102*'Jerarq. Riesgos Plazo'!$R$77</f>
        <v>0.70179278808433576</v>
      </c>
      <c r="S102" s="38">
        <f>+T102*(-'Jerarq. Riesgos Costos'!$P$76+1)</f>
        <v>2160000</v>
      </c>
      <c r="T102" s="203">
        <f t="shared" si="30"/>
        <v>2400000</v>
      </c>
      <c r="U102" s="34">
        <f>+T102*('Jerarq. Riesgos Costos'!$Q$76+1)</f>
        <v>3035910.1816195571</v>
      </c>
      <c r="V102" s="29"/>
      <c r="W102" s="4">
        <v>0.5</v>
      </c>
      <c r="X102" s="256">
        <f>+W102*('Jerarq. Riesgos Plazo'!$M$65/100+1)</f>
        <v>0.50059768449911035</v>
      </c>
      <c r="Y102" s="29"/>
      <c r="Z102" s="4"/>
      <c r="AA102" s="30"/>
      <c r="AB102" s="29"/>
      <c r="AC102" s="4">
        <v>0.5</v>
      </c>
      <c r="AD102" s="256">
        <f>+AC102*('Jerarq. Riesgos Plazo'!$M$65/100+1)</f>
        <v>0.50059768449911035</v>
      </c>
      <c r="AE102" s="29"/>
      <c r="AF102" s="4"/>
      <c r="AG102" s="30"/>
    </row>
    <row r="103" spans="2:33" ht="18" x14ac:dyDescent="0.25">
      <c r="B103" s="110" t="s">
        <v>499</v>
      </c>
      <c r="C103" s="115" t="s">
        <v>743</v>
      </c>
      <c r="D103" s="112" t="s">
        <v>510</v>
      </c>
      <c r="E103" s="113" t="s">
        <v>472</v>
      </c>
      <c r="F103" s="113">
        <v>80</v>
      </c>
      <c r="G103" s="265">
        <v>0.6</v>
      </c>
      <c r="H103" s="114">
        <v>15000</v>
      </c>
      <c r="I103" s="129">
        <f t="shared" si="29"/>
        <v>1200000</v>
      </c>
      <c r="J103" s="343">
        <f>+K103-'Jerarq. Riesgos Plazo'!$K$77*'Aplicación proyecto BD'!K103</f>
        <v>0.54</v>
      </c>
      <c r="K103" s="4">
        <v>0.6</v>
      </c>
      <c r="L103" s="202">
        <f>+K103*('Jerarq. Riesgos Plazo'!$L$77+1)</f>
        <v>0.94984052782770623</v>
      </c>
      <c r="M103" s="64">
        <f>+N103*(-'Jerarq. Riesgos Costos'!$J$76+1)</f>
        <v>1080000</v>
      </c>
      <c r="N103" s="203">
        <f t="shared" si="31"/>
        <v>1200000</v>
      </c>
      <c r="O103" s="49">
        <f>+N103*('Jerarq. Riesgos Costos'!$K$76+1)</f>
        <v>1498488.7727024446</v>
      </c>
      <c r="P103" s="64">
        <f>+Q103-Q103*'Jerarq. Riesgos Plazo'!$Q$77</f>
        <v>0.54</v>
      </c>
      <c r="Q103" s="4">
        <f t="shared" si="26"/>
        <v>0.6</v>
      </c>
      <c r="R103" s="264">
        <f>+Q103+Q103*'Jerarq. Riesgos Plazo'!$R$77</f>
        <v>0.84215134570120287</v>
      </c>
      <c r="S103" s="38">
        <f>+T103*(-'Jerarq. Riesgos Costos'!$P$76+1)</f>
        <v>1080000</v>
      </c>
      <c r="T103" s="203">
        <f t="shared" si="30"/>
        <v>1200000</v>
      </c>
      <c r="U103" s="34">
        <f>+T103*('Jerarq. Riesgos Costos'!$Q$76+1)</f>
        <v>1517955.0908097785</v>
      </c>
      <c r="V103" s="29"/>
      <c r="W103" s="4">
        <v>0.6</v>
      </c>
      <c r="X103" s="256">
        <f>+W103*('Jerarq. Riesgos Plazo'!$M$65/100+1)</f>
        <v>0.60071722139893236</v>
      </c>
      <c r="Y103" s="29"/>
      <c r="Z103" s="4"/>
      <c r="AA103" s="30"/>
      <c r="AB103" s="29"/>
      <c r="AC103" s="4">
        <v>0.6</v>
      </c>
      <c r="AD103" s="256">
        <f>+AC103*('Jerarq. Riesgos Plazo'!$M$65/100+1)</f>
        <v>0.60071722139893236</v>
      </c>
      <c r="AE103" s="29"/>
      <c r="AF103" s="4"/>
      <c r="AG103" s="30"/>
    </row>
    <row r="104" spans="2:33" ht="18" x14ac:dyDescent="0.25">
      <c r="B104" s="110" t="s">
        <v>499</v>
      </c>
      <c r="C104" s="115" t="s">
        <v>744</v>
      </c>
      <c r="D104" s="112" t="s">
        <v>511</v>
      </c>
      <c r="E104" s="113" t="s">
        <v>472</v>
      </c>
      <c r="F104" s="113">
        <v>80</v>
      </c>
      <c r="G104" s="265">
        <v>0.6</v>
      </c>
      <c r="H104" s="114">
        <v>15000</v>
      </c>
      <c r="I104" s="129">
        <f t="shared" si="29"/>
        <v>1200000</v>
      </c>
      <c r="J104" s="343">
        <f>+K104-'Jerarq. Riesgos Plazo'!$K$77*'Aplicación proyecto BD'!K104</f>
        <v>0.54</v>
      </c>
      <c r="K104" s="4">
        <v>0.6</v>
      </c>
      <c r="L104" s="202">
        <f>+K104*('Jerarq. Riesgos Plazo'!$L$77+1)</f>
        <v>0.94984052782770623</v>
      </c>
      <c r="M104" s="64">
        <f>+N104*(-'Jerarq. Riesgos Costos'!$J$76+1)</f>
        <v>1080000</v>
      </c>
      <c r="N104" s="203">
        <f t="shared" si="31"/>
        <v>1200000</v>
      </c>
      <c r="O104" s="49">
        <f>+N104*('Jerarq. Riesgos Costos'!$K$76+1)</f>
        <v>1498488.7727024446</v>
      </c>
      <c r="P104" s="64">
        <f>+Q104-Q104*'Jerarq. Riesgos Plazo'!$Q$77</f>
        <v>0.54</v>
      </c>
      <c r="Q104" s="4">
        <f t="shared" si="26"/>
        <v>0.6</v>
      </c>
      <c r="R104" s="264">
        <f>+Q104+Q104*'Jerarq. Riesgos Plazo'!$R$77</f>
        <v>0.84215134570120287</v>
      </c>
      <c r="S104" s="38">
        <f>+T104*(-'Jerarq. Riesgos Costos'!$P$76+1)</f>
        <v>1080000</v>
      </c>
      <c r="T104" s="203">
        <f t="shared" si="30"/>
        <v>1200000</v>
      </c>
      <c r="U104" s="34">
        <f>+T104*('Jerarq. Riesgos Costos'!$Q$76+1)</f>
        <v>1517955.0908097785</v>
      </c>
      <c r="V104" s="29"/>
      <c r="W104" s="4">
        <v>0.6</v>
      </c>
      <c r="X104" s="256">
        <f>+W104*('Jerarq. Riesgos Plazo'!$M$65/100+1)</f>
        <v>0.60071722139893236</v>
      </c>
      <c r="Y104" s="29"/>
      <c r="Z104" s="4"/>
      <c r="AA104" s="30"/>
      <c r="AB104" s="29"/>
      <c r="AC104" s="4">
        <v>0.6</v>
      </c>
      <c r="AD104" s="256">
        <f>+AC104*('Jerarq. Riesgos Plazo'!$M$65/100+1)</f>
        <v>0.60071722139893236</v>
      </c>
      <c r="AE104" s="29"/>
      <c r="AF104" s="4"/>
      <c r="AG104" s="30"/>
    </row>
    <row r="105" spans="2:33" ht="18" x14ac:dyDescent="0.25">
      <c r="B105" s="110" t="s">
        <v>499</v>
      </c>
      <c r="C105" s="115" t="s">
        <v>745</v>
      </c>
      <c r="D105" s="112" t="s">
        <v>512</v>
      </c>
      <c r="E105" s="113" t="s">
        <v>472</v>
      </c>
      <c r="F105" s="113">
        <v>80</v>
      </c>
      <c r="G105" s="265">
        <v>0.2</v>
      </c>
      <c r="H105" s="114">
        <v>15000</v>
      </c>
      <c r="I105" s="129">
        <f t="shared" si="29"/>
        <v>1200000</v>
      </c>
      <c r="J105" s="343">
        <f>+K105-'Jerarq. Riesgos Plazo'!$K$77*'Aplicación proyecto BD'!K105</f>
        <v>0.18</v>
      </c>
      <c r="K105" s="4">
        <v>0.2</v>
      </c>
      <c r="L105" s="202">
        <f>+K105*('Jerarq. Riesgos Plazo'!$L$77+1)</f>
        <v>0.31661350927590215</v>
      </c>
      <c r="M105" s="64">
        <f>+N105*(-'Jerarq. Riesgos Costos'!$J$76+1)</f>
        <v>1080000</v>
      </c>
      <c r="N105" s="203">
        <f t="shared" si="31"/>
        <v>1200000</v>
      </c>
      <c r="O105" s="49">
        <f>+N105*('Jerarq. Riesgos Costos'!$K$76+1)</f>
        <v>1498488.7727024446</v>
      </c>
      <c r="P105" s="64">
        <f>+Q105-Q105*'Jerarq. Riesgos Plazo'!$Q$77</f>
        <v>0.18</v>
      </c>
      <c r="Q105" s="4">
        <f t="shared" si="26"/>
        <v>0.2</v>
      </c>
      <c r="R105" s="264">
        <f>+Q105+Q105*'Jerarq. Riesgos Plazo'!$R$77</f>
        <v>0.28071711523373433</v>
      </c>
      <c r="S105" s="38">
        <f>+T105*(-'Jerarq. Riesgos Costos'!$P$76+1)</f>
        <v>1080000</v>
      </c>
      <c r="T105" s="203">
        <f t="shared" si="30"/>
        <v>1200000</v>
      </c>
      <c r="U105" s="34">
        <f>+T105*('Jerarq. Riesgos Costos'!$Q$76+1)</f>
        <v>1517955.0908097785</v>
      </c>
      <c r="V105" s="29"/>
      <c r="W105" s="4">
        <v>0.2</v>
      </c>
      <c r="X105" s="256">
        <f>+W105*('Jerarq. Riesgos Plazo'!$M$65/100+1)</f>
        <v>0.20023907379964415</v>
      </c>
      <c r="Y105" s="29"/>
      <c r="Z105" s="4"/>
      <c r="AA105" s="30"/>
      <c r="AB105" s="29"/>
      <c r="AC105" s="4">
        <v>0.2</v>
      </c>
      <c r="AD105" s="256">
        <f>+AC105*('Jerarq. Riesgos Plazo'!$M$65/100+1)</f>
        <v>0.20023907379964415</v>
      </c>
      <c r="AE105" s="29"/>
      <c r="AF105" s="4"/>
      <c r="AG105" s="30"/>
    </row>
    <row r="106" spans="2:33" ht="18" x14ac:dyDescent="0.25">
      <c r="B106" s="110" t="s">
        <v>499</v>
      </c>
      <c r="C106" s="115" t="s">
        <v>746</v>
      </c>
      <c r="D106" s="112" t="s">
        <v>513</v>
      </c>
      <c r="E106" s="113" t="s">
        <v>472</v>
      </c>
      <c r="F106" s="113">
        <v>80</v>
      </c>
      <c r="G106" s="265">
        <v>0.1</v>
      </c>
      <c r="H106" s="114">
        <v>20000</v>
      </c>
      <c r="I106" s="129">
        <f t="shared" si="29"/>
        <v>1600000</v>
      </c>
      <c r="J106" s="343">
        <f>+K106-'Jerarq. Riesgos Plazo'!$K$77*'Aplicación proyecto BD'!K106</f>
        <v>0.09</v>
      </c>
      <c r="K106" s="4">
        <v>0.1</v>
      </c>
      <c r="L106" s="202">
        <f>+K106*('Jerarq. Riesgos Plazo'!$L$77+1)</f>
        <v>0.15830675463795107</v>
      </c>
      <c r="M106" s="64">
        <f>+N106*(-'Jerarq. Riesgos Costos'!$J$76+1)</f>
        <v>1440000</v>
      </c>
      <c r="N106" s="203">
        <f t="shared" si="31"/>
        <v>1600000</v>
      </c>
      <c r="O106" s="49">
        <f>+N106*('Jerarq. Riesgos Costos'!$K$76+1)</f>
        <v>1997985.0302699262</v>
      </c>
      <c r="P106" s="64">
        <f>+Q106-Q106*'Jerarq. Riesgos Plazo'!$Q$77</f>
        <v>0.09</v>
      </c>
      <c r="Q106" s="4">
        <f t="shared" si="26"/>
        <v>0.1</v>
      </c>
      <c r="R106" s="264">
        <f>+Q106+Q106*'Jerarq. Riesgos Plazo'!$R$77</f>
        <v>0.14035855761686716</v>
      </c>
      <c r="S106" s="38">
        <f>+T106*(-'Jerarq. Riesgos Costos'!$P$76+1)</f>
        <v>1440000</v>
      </c>
      <c r="T106" s="203">
        <f t="shared" si="30"/>
        <v>1600000</v>
      </c>
      <c r="U106" s="34">
        <f>+T106*('Jerarq. Riesgos Costos'!$Q$76+1)</f>
        <v>2023940.1210797047</v>
      </c>
      <c r="V106" s="29"/>
      <c r="W106" s="4">
        <v>0.1</v>
      </c>
      <c r="X106" s="256">
        <f>+W106*('Jerarq. Riesgos Plazo'!$M$65/100+1)</f>
        <v>0.10011953689982207</v>
      </c>
      <c r="Y106" s="29"/>
      <c r="Z106" s="4"/>
      <c r="AA106" s="30"/>
      <c r="AB106" s="29"/>
      <c r="AC106" s="4">
        <v>0.1</v>
      </c>
      <c r="AD106" s="256">
        <f>+AC106*('Jerarq. Riesgos Plazo'!$M$65/100+1)</f>
        <v>0.10011953689982207</v>
      </c>
      <c r="AE106" s="29"/>
      <c r="AF106" s="4"/>
      <c r="AG106" s="30"/>
    </row>
    <row r="107" spans="2:33" ht="18" x14ac:dyDescent="0.25">
      <c r="B107" s="110" t="s">
        <v>499</v>
      </c>
      <c r="C107" s="115" t="s">
        <v>747</v>
      </c>
      <c r="D107" s="112" t="s">
        <v>514</v>
      </c>
      <c r="E107" s="113" t="s">
        <v>453</v>
      </c>
      <c r="F107" s="113">
        <v>6</v>
      </c>
      <c r="G107" s="265">
        <v>0.3</v>
      </c>
      <c r="H107" s="114">
        <v>15000</v>
      </c>
      <c r="I107" s="129">
        <f t="shared" si="29"/>
        <v>90000</v>
      </c>
      <c r="J107" s="343">
        <f>+K107-'Jerarq. Riesgos Plazo'!$K$77*'Aplicación proyecto BD'!K107</f>
        <v>0.27</v>
      </c>
      <c r="K107" s="4">
        <v>0.3</v>
      </c>
      <c r="L107" s="202">
        <f>+K107*('Jerarq. Riesgos Plazo'!$L$77+1)</f>
        <v>0.47492026391385311</v>
      </c>
      <c r="M107" s="64">
        <f>+N107*(-'Jerarq. Riesgos Costos'!$J$76+1)</f>
        <v>81000</v>
      </c>
      <c r="N107" s="203">
        <f t="shared" si="31"/>
        <v>90000</v>
      </c>
      <c r="O107" s="49">
        <f>+N107*('Jerarq. Riesgos Costos'!$K$76+1)</f>
        <v>112386.65795268335</v>
      </c>
      <c r="P107" s="64">
        <f>+Q107-Q107*'Jerarq. Riesgos Plazo'!$Q$77</f>
        <v>0.27</v>
      </c>
      <c r="Q107" s="4">
        <f t="shared" si="26"/>
        <v>0.3</v>
      </c>
      <c r="R107" s="264">
        <f>+Q107+Q107*'Jerarq. Riesgos Plazo'!$R$77</f>
        <v>0.42107567285060143</v>
      </c>
      <c r="S107" s="38">
        <f>+T107*(-'Jerarq. Riesgos Costos'!$P$76+1)</f>
        <v>81000</v>
      </c>
      <c r="T107" s="203">
        <f t="shared" si="30"/>
        <v>90000</v>
      </c>
      <c r="U107" s="34">
        <f>+T107*('Jerarq. Riesgos Costos'!$Q$76+1)</f>
        <v>113846.63181073339</v>
      </c>
      <c r="V107" s="29"/>
      <c r="W107" s="4">
        <v>0.3</v>
      </c>
      <c r="X107" s="256">
        <f>+W107*('Jerarq. Riesgos Plazo'!$M$65/100+1)</f>
        <v>0.30035861069946618</v>
      </c>
      <c r="Y107" s="29"/>
      <c r="Z107" s="4"/>
      <c r="AA107" s="30"/>
      <c r="AB107" s="29"/>
      <c r="AC107" s="4">
        <v>0.3</v>
      </c>
      <c r="AD107" s="256">
        <f>+AC107*('Jerarq. Riesgos Plazo'!$M$65/100+1)</f>
        <v>0.30035861069946618</v>
      </c>
      <c r="AE107" s="29"/>
      <c r="AF107" s="4"/>
      <c r="AG107" s="30"/>
    </row>
    <row r="108" spans="2:33" ht="18" x14ac:dyDescent="0.25">
      <c r="B108" s="110" t="s">
        <v>499</v>
      </c>
      <c r="C108" s="115" t="s">
        <v>748</v>
      </c>
      <c r="D108" s="112" t="s">
        <v>664</v>
      </c>
      <c r="E108" s="113" t="s">
        <v>472</v>
      </c>
      <c r="F108" s="113">
        <v>17</v>
      </c>
      <c r="G108" s="265">
        <v>2</v>
      </c>
      <c r="H108" s="114">
        <v>132000</v>
      </c>
      <c r="I108" s="129">
        <f t="shared" si="29"/>
        <v>2244000</v>
      </c>
      <c r="J108" s="343">
        <f>+K108-'Jerarq. Riesgos Plazo'!$K$77*'Aplicación proyecto BD'!K108</f>
        <v>1.8</v>
      </c>
      <c r="K108" s="4">
        <v>2</v>
      </c>
      <c r="L108" s="202">
        <f>+K108*('Jerarq. Riesgos Plazo'!$L$77+1)</f>
        <v>3.1661350927590211</v>
      </c>
      <c r="M108" s="64">
        <f>+N108*(-'Jerarq. Riesgos Costos'!$J$76+1)</f>
        <v>2019600</v>
      </c>
      <c r="N108" s="203">
        <f t="shared" si="31"/>
        <v>2244000</v>
      </c>
      <c r="O108" s="49">
        <f>+N108*('Jerarq. Riesgos Costos'!$K$76+1)</f>
        <v>2802174.0049535716</v>
      </c>
      <c r="P108" s="64">
        <f>+Q108-Q108*'Jerarq. Riesgos Plazo'!$Q$77</f>
        <v>1.8</v>
      </c>
      <c r="Q108" s="4">
        <f t="shared" si="26"/>
        <v>2</v>
      </c>
      <c r="R108" s="264">
        <f>+Q108+Q108*'Jerarq. Riesgos Plazo'!$R$77</f>
        <v>2.807171152337343</v>
      </c>
      <c r="S108" s="38">
        <f>+T108*(-'Jerarq. Riesgos Costos'!$P$76+1)</f>
        <v>2019600</v>
      </c>
      <c r="T108" s="203">
        <f t="shared" si="30"/>
        <v>2244000</v>
      </c>
      <c r="U108" s="34">
        <f>+T108*('Jerarq. Riesgos Costos'!$Q$76+1)</f>
        <v>2838576.0198142859</v>
      </c>
      <c r="V108" s="29"/>
      <c r="W108" s="4">
        <v>2</v>
      </c>
      <c r="X108" s="256">
        <f>+W108*('Jerarq. Riesgos Plazo'!$M$65/100+1)</f>
        <v>2.0023907379964414</v>
      </c>
      <c r="Y108" s="29"/>
      <c r="Z108" s="4"/>
      <c r="AA108" s="30"/>
      <c r="AB108" s="29"/>
      <c r="AC108" s="4">
        <v>2</v>
      </c>
      <c r="AD108" s="256">
        <f>+AC108*('Jerarq. Riesgos Plazo'!$M$65/100+1)</f>
        <v>2.0023907379964414</v>
      </c>
      <c r="AE108" s="29"/>
      <c r="AF108" s="4"/>
      <c r="AG108" s="30"/>
    </row>
    <row r="109" spans="2:33" ht="18" x14ac:dyDescent="0.25">
      <c r="B109" s="110" t="s">
        <v>499</v>
      </c>
      <c r="C109" s="115" t="s">
        <v>749</v>
      </c>
      <c r="D109" s="112" t="s">
        <v>516</v>
      </c>
      <c r="E109" s="113" t="s">
        <v>472</v>
      </c>
      <c r="F109" s="113">
        <v>20</v>
      </c>
      <c r="G109" s="265">
        <v>1</v>
      </c>
      <c r="H109" s="114">
        <v>67500</v>
      </c>
      <c r="I109" s="129">
        <f t="shared" si="29"/>
        <v>1350000</v>
      </c>
      <c r="J109" s="343">
        <f>+K109-'Jerarq. Riesgos Plazo'!$K$77*'Aplicación proyecto BD'!K109</f>
        <v>0.9</v>
      </c>
      <c r="K109" s="4">
        <v>1</v>
      </c>
      <c r="L109" s="202">
        <f>+K109*('Jerarq. Riesgos Plazo'!$L$77+1)</f>
        <v>1.5830675463795105</v>
      </c>
      <c r="M109" s="64">
        <f>+N109*(-'Jerarq. Riesgos Costos'!$J$76+1)</f>
        <v>1215000</v>
      </c>
      <c r="N109" s="203">
        <f t="shared" si="31"/>
        <v>1350000</v>
      </c>
      <c r="O109" s="49">
        <f>+N109*('Jerarq. Riesgos Costos'!$K$76+1)</f>
        <v>1685799.8692902501</v>
      </c>
      <c r="P109" s="64">
        <f>+Q109-Q109*'Jerarq. Riesgos Plazo'!$Q$77</f>
        <v>0.9</v>
      </c>
      <c r="Q109" s="4">
        <f t="shared" si="26"/>
        <v>1</v>
      </c>
      <c r="R109" s="264">
        <f>+Q109+Q109*'Jerarq. Riesgos Plazo'!$R$77</f>
        <v>1.4035855761686715</v>
      </c>
      <c r="S109" s="38">
        <f>+T109*(-'Jerarq. Riesgos Costos'!$P$76+1)</f>
        <v>1215000</v>
      </c>
      <c r="T109" s="203">
        <f t="shared" si="30"/>
        <v>1350000</v>
      </c>
      <c r="U109" s="34">
        <f>+T109*('Jerarq. Riesgos Costos'!$Q$76+1)</f>
        <v>1707699.4771610009</v>
      </c>
      <c r="V109" s="29"/>
      <c r="W109" s="4">
        <v>1</v>
      </c>
      <c r="X109" s="256">
        <f>+W109*('Jerarq. Riesgos Plazo'!$M$65/100+1)</f>
        <v>1.0011953689982207</v>
      </c>
      <c r="Y109" s="29"/>
      <c r="Z109" s="4"/>
      <c r="AA109" s="30"/>
      <c r="AB109" s="29"/>
      <c r="AC109" s="4">
        <v>1</v>
      </c>
      <c r="AD109" s="256">
        <f>+AC109*('Jerarq. Riesgos Plazo'!$M$65/100+1)</f>
        <v>1.0011953689982207</v>
      </c>
      <c r="AE109" s="29"/>
      <c r="AF109" s="4"/>
      <c r="AG109" s="30"/>
    </row>
    <row r="110" spans="2:33" ht="18" x14ac:dyDescent="0.25">
      <c r="B110" s="251" t="s">
        <v>657</v>
      </c>
      <c r="C110" s="251" t="s">
        <v>464</v>
      </c>
      <c r="D110" s="252" t="s">
        <v>517</v>
      </c>
      <c r="E110" s="253"/>
      <c r="F110" s="254"/>
      <c r="G110" s="261">
        <f>+SUM(G111:G146)</f>
        <v>20.300000000000008</v>
      </c>
      <c r="H110" s="255"/>
      <c r="I110" s="256">
        <f t="shared" ref="I110:O110" si="32">+SUM(I111:I146)</f>
        <v>97219050</v>
      </c>
      <c r="J110" s="261">
        <f t="shared" si="32"/>
        <v>18.270000000000003</v>
      </c>
      <c r="K110" s="261">
        <f t="shared" si="32"/>
        <v>20.300000000000008</v>
      </c>
      <c r="L110" s="256">
        <f t="shared" si="32"/>
        <v>32.136271191504072</v>
      </c>
      <c r="M110" s="260">
        <f t="shared" si="32"/>
        <v>87497145</v>
      </c>
      <c r="N110" s="261">
        <f t="shared" si="32"/>
        <v>97219050</v>
      </c>
      <c r="O110" s="262">
        <f t="shared" si="32"/>
        <v>121401379.09816468</v>
      </c>
      <c r="P110" s="260">
        <f t="shared" ref="P110:U110" si="33">+SUM(P111:P146)</f>
        <v>18.270000000000003</v>
      </c>
      <c r="Q110" s="261">
        <f t="shared" si="33"/>
        <v>20.300000000000008</v>
      </c>
      <c r="R110" s="262">
        <f t="shared" si="33"/>
        <v>28.492787196224032</v>
      </c>
      <c r="S110" s="368">
        <f t="shared" si="33"/>
        <v>87497145</v>
      </c>
      <c r="T110" s="261">
        <f t="shared" si="33"/>
        <v>97219050</v>
      </c>
      <c r="U110" s="262">
        <f t="shared" si="33"/>
        <v>122978459.89265865</v>
      </c>
      <c r="V110" s="260">
        <v>17</v>
      </c>
      <c r="W110" s="261">
        <f>+SUM(W111:W144)</f>
        <v>18.200000000000006</v>
      </c>
      <c r="X110" s="256">
        <f>+W110*('Jerarq. Riesgos Plazo'!$M$65/100+1)</f>
        <v>18.221755715767625</v>
      </c>
      <c r="Y110" s="260"/>
      <c r="Z110" s="261"/>
      <c r="AA110" s="262"/>
      <c r="AB110" s="260">
        <v>17</v>
      </c>
      <c r="AC110" s="261">
        <f>+SUM(AC111:AC144)</f>
        <v>18.200000000000006</v>
      </c>
      <c r="AD110" s="256">
        <f>+AC110*('Jerarq. Riesgos Plazo'!$M$65/100+1)</f>
        <v>18.221755715767625</v>
      </c>
      <c r="AE110" s="260"/>
      <c r="AF110" s="261"/>
      <c r="AG110" s="262"/>
    </row>
    <row r="111" spans="2:33" ht="18" x14ac:dyDescent="0.25">
      <c r="B111" s="110" t="s">
        <v>518</v>
      </c>
      <c r="C111" s="115" t="s">
        <v>750</v>
      </c>
      <c r="D111" s="112" t="s">
        <v>519</v>
      </c>
      <c r="E111" s="113" t="s">
        <v>453</v>
      </c>
      <c r="F111" s="113">
        <v>3</v>
      </c>
      <c r="G111" s="265">
        <v>0.3</v>
      </c>
      <c r="H111" s="114">
        <v>1600000</v>
      </c>
      <c r="I111" s="129">
        <f t="shared" ref="I111:I148" si="34">+F111*H111</f>
        <v>4800000</v>
      </c>
      <c r="J111" s="343">
        <f>+K111-'Jerarq. Riesgos Plazo'!$K$77*'Aplicación proyecto BD'!K111</f>
        <v>0.27</v>
      </c>
      <c r="K111" s="4">
        <v>0.3</v>
      </c>
      <c r="L111" s="202">
        <f>+K111*('Jerarq. Riesgos Plazo'!$L$77+1)</f>
        <v>0.47492026391385311</v>
      </c>
      <c r="M111" s="64">
        <f>+N111*(-'Jerarq. Riesgos Costos'!$J$76+1)</f>
        <v>4320000</v>
      </c>
      <c r="N111" s="203">
        <f t="shared" ref="N111:N146" si="35">+I111</f>
        <v>4800000</v>
      </c>
      <c r="O111" s="49">
        <f>+N111*('Jerarq. Riesgos Costos'!$K$76+1)</f>
        <v>5993955.0908097783</v>
      </c>
      <c r="P111" s="64">
        <f>+Q111-Q111*'Jerarq. Riesgos Plazo'!$Q$77</f>
        <v>0.27</v>
      </c>
      <c r="Q111" s="4">
        <f t="shared" si="26"/>
        <v>0.3</v>
      </c>
      <c r="R111" s="264">
        <f>+Q111+Q111*'Jerarq. Riesgos Plazo'!$R$77</f>
        <v>0.42107567285060143</v>
      </c>
      <c r="S111" s="38">
        <f>+T111*(-'Jerarq. Riesgos Costos'!$P$76+1)</f>
        <v>4320000</v>
      </c>
      <c r="T111" s="203">
        <f t="shared" si="30"/>
        <v>4800000</v>
      </c>
      <c r="U111" s="34">
        <f>+T111*('Jerarq. Riesgos Costos'!$Q$76+1)</f>
        <v>6071820.3632391142</v>
      </c>
      <c r="V111" s="29"/>
      <c r="W111" s="4">
        <v>0.3</v>
      </c>
      <c r="X111" s="256">
        <f>+W111*('Jerarq. Riesgos Plazo'!$M$65/100+1)</f>
        <v>0.30035861069946618</v>
      </c>
      <c r="Y111" s="29"/>
      <c r="Z111" s="4"/>
      <c r="AA111" s="30"/>
      <c r="AB111" s="29"/>
      <c r="AC111" s="4">
        <v>0.3</v>
      </c>
      <c r="AD111" s="256">
        <f>+AC111*('Jerarq. Riesgos Plazo'!$M$65/100+1)</f>
        <v>0.30035861069946618</v>
      </c>
      <c r="AE111" s="29"/>
      <c r="AF111" s="4"/>
      <c r="AG111" s="30"/>
    </row>
    <row r="112" spans="2:33" ht="18" x14ac:dyDescent="0.25">
      <c r="B112" s="110" t="s">
        <v>518</v>
      </c>
      <c r="C112" s="115" t="s">
        <v>751</v>
      </c>
      <c r="D112" s="112" t="s">
        <v>520</v>
      </c>
      <c r="E112" s="113" t="s">
        <v>453</v>
      </c>
      <c r="F112" s="113">
        <v>3</v>
      </c>
      <c r="G112" s="265">
        <v>0.4</v>
      </c>
      <c r="H112" s="114">
        <v>2500000</v>
      </c>
      <c r="I112" s="129">
        <f t="shared" si="34"/>
        <v>7500000</v>
      </c>
      <c r="J112" s="343">
        <f>+K112-'Jerarq. Riesgos Plazo'!$K$77*'Aplicación proyecto BD'!K112</f>
        <v>0.36</v>
      </c>
      <c r="K112" s="4">
        <v>0.4</v>
      </c>
      <c r="L112" s="202">
        <f>+K112*('Jerarq. Riesgos Plazo'!$L$77+1)</f>
        <v>0.6332270185518043</v>
      </c>
      <c r="M112" s="64">
        <f>+N112*(-'Jerarq. Riesgos Costos'!$J$76+1)</f>
        <v>6750000</v>
      </c>
      <c r="N112" s="203">
        <f t="shared" si="35"/>
        <v>7500000</v>
      </c>
      <c r="O112" s="49">
        <f>+N112*('Jerarq. Riesgos Costos'!$K$76+1)</f>
        <v>9365554.8293902799</v>
      </c>
      <c r="P112" s="64">
        <f>+Q112-Q112*'Jerarq. Riesgos Plazo'!$Q$77</f>
        <v>0.36</v>
      </c>
      <c r="Q112" s="4">
        <f t="shared" si="26"/>
        <v>0.4</v>
      </c>
      <c r="R112" s="264">
        <f>+Q112+Q112*'Jerarq. Riesgos Plazo'!$R$77</f>
        <v>0.56143423046746865</v>
      </c>
      <c r="S112" s="38">
        <f>+T112*(-'Jerarq. Riesgos Costos'!$P$76+1)</f>
        <v>6750000</v>
      </c>
      <c r="T112" s="203">
        <f t="shared" si="30"/>
        <v>7500000</v>
      </c>
      <c r="U112" s="34">
        <f>+T112*('Jerarq. Riesgos Costos'!$Q$76+1)</f>
        <v>9487219.3175611161</v>
      </c>
      <c r="V112" s="29"/>
      <c r="W112" s="4">
        <v>0.4</v>
      </c>
      <c r="X112" s="256">
        <f>+W112*('Jerarq. Riesgos Plazo'!$M$65/100+1)</f>
        <v>0.40047814759928829</v>
      </c>
      <c r="Y112" s="29"/>
      <c r="Z112" s="4"/>
      <c r="AA112" s="30"/>
      <c r="AB112" s="29"/>
      <c r="AC112" s="4">
        <v>0.4</v>
      </c>
      <c r="AD112" s="256">
        <f>+AC112*('Jerarq. Riesgos Plazo'!$M$65/100+1)</f>
        <v>0.40047814759928829</v>
      </c>
      <c r="AE112" s="29"/>
      <c r="AF112" s="4"/>
      <c r="AG112" s="30"/>
    </row>
    <row r="113" spans="2:33" ht="18" x14ac:dyDescent="0.25">
      <c r="B113" s="110" t="s">
        <v>518</v>
      </c>
      <c r="C113" s="115" t="s">
        <v>752</v>
      </c>
      <c r="D113" s="112" t="s">
        <v>521</v>
      </c>
      <c r="E113" s="113" t="s">
        <v>453</v>
      </c>
      <c r="F113" s="113">
        <v>2</v>
      </c>
      <c r="G113" s="265">
        <v>0.2</v>
      </c>
      <c r="H113" s="114">
        <v>1500000</v>
      </c>
      <c r="I113" s="129">
        <f t="shared" si="34"/>
        <v>3000000</v>
      </c>
      <c r="J113" s="343">
        <f>+K113-'Jerarq. Riesgos Plazo'!$K$77*'Aplicación proyecto BD'!K113</f>
        <v>0.18</v>
      </c>
      <c r="K113" s="4">
        <v>0.2</v>
      </c>
      <c r="L113" s="202">
        <f>+K113*('Jerarq. Riesgos Plazo'!$L$77+1)</f>
        <v>0.31661350927590215</v>
      </c>
      <c r="M113" s="64">
        <f>+N113*(-'Jerarq. Riesgos Costos'!$J$76+1)</f>
        <v>2700000</v>
      </c>
      <c r="N113" s="203">
        <f t="shared" si="35"/>
        <v>3000000</v>
      </c>
      <c r="O113" s="49">
        <f>+N113*('Jerarq. Riesgos Costos'!$K$76+1)</f>
        <v>3746221.9317561118</v>
      </c>
      <c r="P113" s="64">
        <f>+Q113-Q113*'Jerarq. Riesgos Plazo'!$Q$77</f>
        <v>0.18</v>
      </c>
      <c r="Q113" s="4">
        <f t="shared" si="26"/>
        <v>0.2</v>
      </c>
      <c r="R113" s="264">
        <f>+Q113+Q113*'Jerarq. Riesgos Plazo'!$R$77</f>
        <v>0.28071711523373433</v>
      </c>
      <c r="S113" s="38">
        <f>+T113*(-'Jerarq. Riesgos Costos'!$P$76+1)</f>
        <v>2700000</v>
      </c>
      <c r="T113" s="203">
        <f t="shared" si="30"/>
        <v>3000000</v>
      </c>
      <c r="U113" s="34">
        <f>+T113*('Jerarq. Riesgos Costos'!$Q$76+1)</f>
        <v>3794887.7270244467</v>
      </c>
      <c r="V113" s="29"/>
      <c r="W113" s="4">
        <v>0.2</v>
      </c>
      <c r="X113" s="256">
        <f>+W113*('Jerarq. Riesgos Plazo'!$M$65/100+1)</f>
        <v>0.20023907379964415</v>
      </c>
      <c r="Y113" s="29"/>
      <c r="Z113" s="4"/>
      <c r="AA113" s="30"/>
      <c r="AB113" s="29"/>
      <c r="AC113" s="4">
        <v>0.2</v>
      </c>
      <c r="AD113" s="256">
        <f>+AC113*('Jerarq. Riesgos Plazo'!$M$65/100+1)</f>
        <v>0.20023907379964415</v>
      </c>
      <c r="AE113" s="29"/>
      <c r="AF113" s="4"/>
      <c r="AG113" s="30"/>
    </row>
    <row r="114" spans="2:33" ht="18" x14ac:dyDescent="0.25">
      <c r="B114" s="110" t="s">
        <v>518</v>
      </c>
      <c r="C114" s="115" t="s">
        <v>753</v>
      </c>
      <c r="D114" s="112" t="s">
        <v>522</v>
      </c>
      <c r="E114" s="113" t="s">
        <v>453</v>
      </c>
      <c r="F114" s="113">
        <v>1</v>
      </c>
      <c r="G114" s="265">
        <v>0.2</v>
      </c>
      <c r="H114" s="114">
        <v>7000000</v>
      </c>
      <c r="I114" s="129">
        <f t="shared" si="34"/>
        <v>7000000</v>
      </c>
      <c r="J114" s="343">
        <f>+K114-'Jerarq. Riesgos Plazo'!$K$77*'Aplicación proyecto BD'!K114</f>
        <v>0.18</v>
      </c>
      <c r="K114" s="4">
        <v>0.2</v>
      </c>
      <c r="L114" s="202">
        <f>+K114*('Jerarq. Riesgos Plazo'!$L$77+1)</f>
        <v>0.31661350927590215</v>
      </c>
      <c r="M114" s="64">
        <f>+N114*(-'Jerarq. Riesgos Costos'!$J$76+1)</f>
        <v>6300000</v>
      </c>
      <c r="N114" s="203">
        <f t="shared" si="35"/>
        <v>7000000</v>
      </c>
      <c r="O114" s="49">
        <f>+N114*('Jerarq. Riesgos Costos'!$K$76+1)</f>
        <v>8741184.5074309278</v>
      </c>
      <c r="P114" s="64">
        <f>+Q114-Q114*'Jerarq. Riesgos Plazo'!$Q$77</f>
        <v>0.18</v>
      </c>
      <c r="Q114" s="4">
        <f t="shared" si="26"/>
        <v>0.2</v>
      </c>
      <c r="R114" s="264">
        <f>+Q114+Q114*'Jerarq. Riesgos Plazo'!$R$77</f>
        <v>0.28071711523373433</v>
      </c>
      <c r="S114" s="38">
        <f>+T114*(-'Jerarq. Riesgos Costos'!$P$76+1)</f>
        <v>6300000</v>
      </c>
      <c r="T114" s="203">
        <f t="shared" si="30"/>
        <v>7000000</v>
      </c>
      <c r="U114" s="34">
        <f>+T114*('Jerarq. Riesgos Costos'!$Q$76+1)</f>
        <v>8854738.0297237094</v>
      </c>
      <c r="V114" s="29"/>
      <c r="W114" s="4">
        <v>0.2</v>
      </c>
      <c r="X114" s="256">
        <f>+W114*('Jerarq. Riesgos Plazo'!$M$65/100+1)</f>
        <v>0.20023907379964415</v>
      </c>
      <c r="Y114" s="29"/>
      <c r="Z114" s="4"/>
      <c r="AA114" s="30"/>
      <c r="AB114" s="29"/>
      <c r="AC114" s="4">
        <v>0.2</v>
      </c>
      <c r="AD114" s="256">
        <f>+AC114*('Jerarq. Riesgos Plazo'!$M$65/100+1)</f>
        <v>0.20023907379964415</v>
      </c>
      <c r="AE114" s="29"/>
      <c r="AF114" s="4"/>
      <c r="AG114" s="30"/>
    </row>
    <row r="115" spans="2:33" ht="18" x14ac:dyDescent="0.25">
      <c r="B115" s="110" t="s">
        <v>518</v>
      </c>
      <c r="C115" s="115" t="s">
        <v>754</v>
      </c>
      <c r="D115" s="112" t="s">
        <v>523</v>
      </c>
      <c r="E115" s="113" t="s">
        <v>453</v>
      </c>
      <c r="F115" s="113">
        <v>2</v>
      </c>
      <c r="G115" s="265">
        <v>0.3</v>
      </c>
      <c r="H115" s="114">
        <v>1800000</v>
      </c>
      <c r="I115" s="129">
        <f t="shared" si="34"/>
        <v>3600000</v>
      </c>
      <c r="J115" s="343">
        <f>+K115-'Jerarq. Riesgos Plazo'!$K$77*'Aplicación proyecto BD'!K115</f>
        <v>0.27</v>
      </c>
      <c r="K115" s="4">
        <v>0.3</v>
      </c>
      <c r="L115" s="202">
        <f>+K115*('Jerarq. Riesgos Plazo'!$L$77+1)</f>
        <v>0.47492026391385311</v>
      </c>
      <c r="M115" s="64">
        <f>+N115*(-'Jerarq. Riesgos Costos'!$J$76+1)</f>
        <v>3240000</v>
      </c>
      <c r="N115" s="203">
        <f t="shared" si="35"/>
        <v>3600000</v>
      </c>
      <c r="O115" s="49">
        <f>+N115*('Jerarq. Riesgos Costos'!$K$76+1)</f>
        <v>4495466.318107334</v>
      </c>
      <c r="P115" s="64">
        <f>+Q115-Q115*'Jerarq. Riesgos Plazo'!$Q$77</f>
        <v>0.27</v>
      </c>
      <c r="Q115" s="4">
        <f t="shared" si="26"/>
        <v>0.3</v>
      </c>
      <c r="R115" s="264">
        <f>+Q115+Q115*'Jerarq. Riesgos Plazo'!$R$77</f>
        <v>0.42107567285060143</v>
      </c>
      <c r="S115" s="38">
        <f>+T115*(-'Jerarq. Riesgos Costos'!$P$76+1)</f>
        <v>3240000</v>
      </c>
      <c r="T115" s="203">
        <f t="shared" si="30"/>
        <v>3600000</v>
      </c>
      <c r="U115" s="34">
        <f>+T115*('Jerarq. Riesgos Costos'!$Q$76+1)</f>
        <v>4553865.2724293359</v>
      </c>
      <c r="V115" s="29"/>
      <c r="W115" s="4">
        <v>0.3</v>
      </c>
      <c r="X115" s="256">
        <f>+W115*('Jerarq. Riesgos Plazo'!$M$65/100+1)</f>
        <v>0.30035861069946618</v>
      </c>
      <c r="Y115" s="29"/>
      <c r="Z115" s="4"/>
      <c r="AA115" s="30"/>
      <c r="AB115" s="29"/>
      <c r="AC115" s="4">
        <v>0.3</v>
      </c>
      <c r="AD115" s="256">
        <f>+AC115*('Jerarq. Riesgos Plazo'!$M$65/100+1)</f>
        <v>0.30035861069946618</v>
      </c>
      <c r="AE115" s="29"/>
      <c r="AF115" s="4"/>
      <c r="AG115" s="30"/>
    </row>
    <row r="116" spans="2:33" ht="18" x14ac:dyDescent="0.25">
      <c r="B116" s="110" t="s">
        <v>518</v>
      </c>
      <c r="C116" s="115" t="s">
        <v>755</v>
      </c>
      <c r="D116" s="112" t="s">
        <v>524</v>
      </c>
      <c r="E116" s="113" t="s">
        <v>453</v>
      </c>
      <c r="F116" s="113">
        <v>2</v>
      </c>
      <c r="G116" s="265">
        <v>0.3</v>
      </c>
      <c r="H116" s="114">
        <v>250000</v>
      </c>
      <c r="I116" s="129">
        <f t="shared" si="34"/>
        <v>500000</v>
      </c>
      <c r="J116" s="343">
        <f>+K116-'Jerarq. Riesgos Plazo'!$K$77*'Aplicación proyecto BD'!K116</f>
        <v>0.27</v>
      </c>
      <c r="K116" s="4">
        <v>0.3</v>
      </c>
      <c r="L116" s="202">
        <f>+K116*('Jerarq. Riesgos Plazo'!$L$77+1)</f>
        <v>0.47492026391385311</v>
      </c>
      <c r="M116" s="64">
        <f>+N116*(-'Jerarq. Riesgos Costos'!$J$76+1)</f>
        <v>450000</v>
      </c>
      <c r="N116" s="203">
        <f t="shared" si="35"/>
        <v>500000</v>
      </c>
      <c r="O116" s="49">
        <f>+N116*('Jerarq. Riesgos Costos'!$K$76+1)</f>
        <v>624370.32195935189</v>
      </c>
      <c r="P116" s="64">
        <f>+Q116-Q116*'Jerarq. Riesgos Plazo'!$Q$77</f>
        <v>0.27</v>
      </c>
      <c r="Q116" s="4">
        <f t="shared" si="26"/>
        <v>0.3</v>
      </c>
      <c r="R116" s="264">
        <f>+Q116+Q116*'Jerarq. Riesgos Plazo'!$R$77</f>
        <v>0.42107567285060143</v>
      </c>
      <c r="S116" s="38">
        <f>+T116*(-'Jerarq. Riesgos Costos'!$P$76+1)</f>
        <v>450000</v>
      </c>
      <c r="T116" s="203">
        <f t="shared" si="30"/>
        <v>500000</v>
      </c>
      <c r="U116" s="34">
        <f>+T116*('Jerarq. Riesgos Costos'!$Q$76+1)</f>
        <v>632481.28783740778</v>
      </c>
      <c r="V116" s="29"/>
      <c r="W116" s="4">
        <v>0.3</v>
      </c>
      <c r="X116" s="256">
        <f>+W116*('Jerarq. Riesgos Plazo'!$M$65/100+1)</f>
        <v>0.30035861069946618</v>
      </c>
      <c r="Y116" s="29"/>
      <c r="Z116" s="4"/>
      <c r="AA116" s="30"/>
      <c r="AB116" s="29"/>
      <c r="AC116" s="4">
        <v>0.3</v>
      </c>
      <c r="AD116" s="256">
        <f>+AC116*('Jerarq. Riesgos Plazo'!$M$65/100+1)</f>
        <v>0.30035861069946618</v>
      </c>
      <c r="AE116" s="29"/>
      <c r="AF116" s="4"/>
      <c r="AG116" s="30"/>
    </row>
    <row r="117" spans="2:33" ht="18" x14ac:dyDescent="0.25">
      <c r="B117" s="110" t="s">
        <v>518</v>
      </c>
      <c r="C117" s="115" t="s">
        <v>756</v>
      </c>
      <c r="D117" s="112" t="s">
        <v>525</v>
      </c>
      <c r="E117" s="113" t="s">
        <v>453</v>
      </c>
      <c r="F117" s="113">
        <v>2</v>
      </c>
      <c r="G117" s="265">
        <v>0.5</v>
      </c>
      <c r="H117" s="114">
        <v>275000</v>
      </c>
      <c r="I117" s="129">
        <f t="shared" si="34"/>
        <v>550000</v>
      </c>
      <c r="J117" s="343">
        <f>+K117-'Jerarq. Riesgos Plazo'!$K$77*'Aplicación proyecto BD'!K117</f>
        <v>0.45</v>
      </c>
      <c r="K117" s="4">
        <v>0.5</v>
      </c>
      <c r="L117" s="202">
        <f>+K117*('Jerarq. Riesgos Plazo'!$L$77+1)</f>
        <v>0.79153377318975526</v>
      </c>
      <c r="M117" s="64">
        <f>+N117*(-'Jerarq. Riesgos Costos'!$J$76+1)</f>
        <v>495000</v>
      </c>
      <c r="N117" s="203">
        <f t="shared" si="35"/>
        <v>550000</v>
      </c>
      <c r="O117" s="49">
        <f>+N117*('Jerarq. Riesgos Costos'!$K$76+1)</f>
        <v>686807.35415528715</v>
      </c>
      <c r="P117" s="64">
        <f>+Q117-Q117*'Jerarq. Riesgos Plazo'!$Q$77</f>
        <v>0.45</v>
      </c>
      <c r="Q117" s="4">
        <f t="shared" si="26"/>
        <v>0.5</v>
      </c>
      <c r="R117" s="264">
        <f>+Q117+Q117*'Jerarq. Riesgos Plazo'!$R$77</f>
        <v>0.70179278808433576</v>
      </c>
      <c r="S117" s="38">
        <f>+T117*(-'Jerarq. Riesgos Costos'!$P$76+1)</f>
        <v>495000</v>
      </c>
      <c r="T117" s="203">
        <f t="shared" si="30"/>
        <v>550000</v>
      </c>
      <c r="U117" s="34">
        <f>+T117*('Jerarq. Riesgos Costos'!$Q$76+1)</f>
        <v>695729.41662114859</v>
      </c>
      <c r="V117" s="29"/>
      <c r="W117" s="4">
        <v>0.5</v>
      </c>
      <c r="X117" s="256">
        <f>+W117*('Jerarq. Riesgos Plazo'!$M$65/100+1)</f>
        <v>0.50059768449911035</v>
      </c>
      <c r="Y117" s="29"/>
      <c r="Z117" s="4"/>
      <c r="AA117" s="30"/>
      <c r="AB117" s="29"/>
      <c r="AC117" s="4">
        <v>0.5</v>
      </c>
      <c r="AD117" s="256">
        <f>+AC117*('Jerarq. Riesgos Plazo'!$M$65/100+1)</f>
        <v>0.50059768449911035</v>
      </c>
      <c r="AE117" s="29"/>
      <c r="AF117" s="4"/>
      <c r="AG117" s="30"/>
    </row>
    <row r="118" spans="2:33" ht="18" x14ac:dyDescent="0.25">
      <c r="B118" s="110" t="s">
        <v>518</v>
      </c>
      <c r="C118" s="115" t="s">
        <v>757</v>
      </c>
      <c r="D118" s="112" t="s">
        <v>526</v>
      </c>
      <c r="E118" s="113" t="s">
        <v>453</v>
      </c>
      <c r="F118" s="113">
        <v>1</v>
      </c>
      <c r="G118" s="265">
        <v>0.2</v>
      </c>
      <c r="H118" s="114">
        <v>210000</v>
      </c>
      <c r="I118" s="129">
        <f t="shared" si="34"/>
        <v>210000</v>
      </c>
      <c r="J118" s="343">
        <f>+K118-'Jerarq. Riesgos Plazo'!$K$77*'Aplicación proyecto BD'!K118</f>
        <v>0.18</v>
      </c>
      <c r="K118" s="4">
        <v>0.2</v>
      </c>
      <c r="L118" s="202">
        <f>+K118*('Jerarq. Riesgos Plazo'!$L$77+1)</f>
        <v>0.31661350927590215</v>
      </c>
      <c r="M118" s="64">
        <f>+N118*(-'Jerarq. Riesgos Costos'!$J$76+1)</f>
        <v>189000</v>
      </c>
      <c r="N118" s="203">
        <f t="shared" si="35"/>
        <v>210000</v>
      </c>
      <c r="O118" s="49">
        <f>+N118*('Jerarq. Riesgos Costos'!$K$76+1)</f>
        <v>262235.53522292781</v>
      </c>
      <c r="P118" s="64">
        <f>+Q118-Q118*'Jerarq. Riesgos Plazo'!$Q$77</f>
        <v>0.18</v>
      </c>
      <c r="Q118" s="4">
        <f t="shared" si="26"/>
        <v>0.2</v>
      </c>
      <c r="R118" s="264">
        <f>+Q118+Q118*'Jerarq. Riesgos Plazo'!$R$77</f>
        <v>0.28071711523373433</v>
      </c>
      <c r="S118" s="38">
        <f>+T118*(-'Jerarq. Riesgos Costos'!$P$76+1)</f>
        <v>189000</v>
      </c>
      <c r="T118" s="203">
        <f t="shared" si="30"/>
        <v>210000</v>
      </c>
      <c r="U118" s="34">
        <f>+T118*('Jerarq. Riesgos Costos'!$Q$76+1)</f>
        <v>265642.14089171129</v>
      </c>
      <c r="V118" s="29"/>
      <c r="W118" s="4">
        <v>0.2</v>
      </c>
      <c r="X118" s="256">
        <f>+W118*('Jerarq. Riesgos Plazo'!$M$65/100+1)</f>
        <v>0.20023907379964415</v>
      </c>
      <c r="Y118" s="29"/>
      <c r="Z118" s="4"/>
      <c r="AA118" s="30"/>
      <c r="AB118" s="29"/>
      <c r="AC118" s="4">
        <v>0.2</v>
      </c>
      <c r="AD118" s="256">
        <f>+AC118*('Jerarq. Riesgos Plazo'!$M$65/100+1)</f>
        <v>0.20023907379964415</v>
      </c>
      <c r="AE118" s="29"/>
      <c r="AF118" s="4"/>
      <c r="AG118" s="30"/>
    </row>
    <row r="119" spans="2:33" ht="18" x14ac:dyDescent="0.25">
      <c r="B119" s="110" t="s">
        <v>518</v>
      </c>
      <c r="C119" s="115" t="s">
        <v>758</v>
      </c>
      <c r="D119" s="112" t="s">
        <v>527</v>
      </c>
      <c r="E119" s="113" t="s">
        <v>453</v>
      </c>
      <c r="F119" s="113">
        <v>1</v>
      </c>
      <c r="G119" s="265">
        <v>0.3</v>
      </c>
      <c r="H119" s="114">
        <v>250000</v>
      </c>
      <c r="I119" s="129">
        <f t="shared" si="34"/>
        <v>250000</v>
      </c>
      <c r="J119" s="343">
        <f>+K119-'Jerarq. Riesgos Plazo'!$K$77*'Aplicación proyecto BD'!K119</f>
        <v>0.27</v>
      </c>
      <c r="K119" s="4">
        <v>0.3</v>
      </c>
      <c r="L119" s="202">
        <f>+K119*('Jerarq. Riesgos Plazo'!$L$77+1)</f>
        <v>0.47492026391385311</v>
      </c>
      <c r="M119" s="64">
        <f>+N119*(-'Jerarq. Riesgos Costos'!$J$76+1)</f>
        <v>225000</v>
      </c>
      <c r="N119" s="203">
        <f t="shared" si="35"/>
        <v>250000</v>
      </c>
      <c r="O119" s="49">
        <f>+N119*('Jerarq. Riesgos Costos'!$K$76+1)</f>
        <v>312185.16097967594</v>
      </c>
      <c r="P119" s="64">
        <f>+Q119-Q119*'Jerarq. Riesgos Plazo'!$Q$77</f>
        <v>0.27</v>
      </c>
      <c r="Q119" s="4">
        <f t="shared" si="26"/>
        <v>0.3</v>
      </c>
      <c r="R119" s="264">
        <f>+Q119+Q119*'Jerarq. Riesgos Plazo'!$R$77</f>
        <v>0.42107567285060143</v>
      </c>
      <c r="S119" s="38">
        <f>+T119*(-'Jerarq. Riesgos Costos'!$P$76+1)</f>
        <v>225000</v>
      </c>
      <c r="T119" s="203">
        <f t="shared" si="30"/>
        <v>250000</v>
      </c>
      <c r="U119" s="34">
        <f>+T119*('Jerarq. Riesgos Costos'!$Q$76+1)</f>
        <v>316240.64391870389</v>
      </c>
      <c r="V119" s="29"/>
      <c r="W119" s="4">
        <v>0.3</v>
      </c>
      <c r="X119" s="256">
        <f>+W119*('Jerarq. Riesgos Plazo'!$M$65/100+1)</f>
        <v>0.30035861069946618</v>
      </c>
      <c r="Y119" s="29"/>
      <c r="Z119" s="4"/>
      <c r="AA119" s="30"/>
      <c r="AB119" s="29"/>
      <c r="AC119" s="4">
        <v>0.3</v>
      </c>
      <c r="AD119" s="256">
        <f>+AC119*('Jerarq. Riesgos Plazo'!$M$65/100+1)</f>
        <v>0.30035861069946618</v>
      </c>
      <c r="AE119" s="29"/>
      <c r="AF119" s="4"/>
      <c r="AG119" s="30"/>
    </row>
    <row r="120" spans="2:33" ht="18" x14ac:dyDescent="0.25">
      <c r="B120" s="110" t="s">
        <v>518</v>
      </c>
      <c r="C120" s="115" t="s">
        <v>759</v>
      </c>
      <c r="D120" s="112" t="s">
        <v>528</v>
      </c>
      <c r="E120" s="113" t="s">
        <v>472</v>
      </c>
      <c r="F120" s="113">
        <v>276</v>
      </c>
      <c r="G120" s="265">
        <v>1.5</v>
      </c>
      <c r="H120" s="114">
        <v>20000</v>
      </c>
      <c r="I120" s="129">
        <f t="shared" si="34"/>
        <v>5520000</v>
      </c>
      <c r="J120" s="343">
        <f>+K120-'Jerarq. Riesgos Plazo'!$K$77*'Aplicación proyecto BD'!K120</f>
        <v>1.35</v>
      </c>
      <c r="K120" s="4">
        <v>1.5</v>
      </c>
      <c r="L120" s="202">
        <f>+K120*('Jerarq. Riesgos Plazo'!$L$77+1)</f>
        <v>2.3746013195692659</v>
      </c>
      <c r="M120" s="64">
        <f>+N120*(-'Jerarq. Riesgos Costos'!$J$76+1)</f>
        <v>4968000</v>
      </c>
      <c r="N120" s="203">
        <f t="shared" si="35"/>
        <v>5520000</v>
      </c>
      <c r="O120" s="49">
        <f>+N120*('Jerarq. Riesgos Costos'!$K$76+1)</f>
        <v>6893048.3544312455</v>
      </c>
      <c r="P120" s="64">
        <f>+Q120-Q120*'Jerarq. Riesgos Plazo'!$Q$77</f>
        <v>1.35</v>
      </c>
      <c r="Q120" s="4">
        <f t="shared" si="26"/>
        <v>1.5</v>
      </c>
      <c r="R120" s="264">
        <f>+Q120+Q120*'Jerarq. Riesgos Plazo'!$R$77</f>
        <v>2.1053783642530073</v>
      </c>
      <c r="S120" s="38">
        <f>+T120*(-'Jerarq. Riesgos Costos'!$P$76+1)</f>
        <v>4968000</v>
      </c>
      <c r="T120" s="203">
        <f t="shared" si="30"/>
        <v>5520000</v>
      </c>
      <c r="U120" s="34">
        <f>+T120*('Jerarq. Riesgos Costos'!$Q$76+1)</f>
        <v>6982593.4177249819</v>
      </c>
      <c r="V120" s="29"/>
      <c r="W120" s="4">
        <v>1.5</v>
      </c>
      <c r="X120" s="256">
        <f>+W120*('Jerarq. Riesgos Plazo'!$M$65/100+1)</f>
        <v>1.5017930534973312</v>
      </c>
      <c r="Y120" s="29"/>
      <c r="Z120" s="4"/>
      <c r="AA120" s="30"/>
      <c r="AB120" s="29"/>
      <c r="AC120" s="4">
        <v>1.5</v>
      </c>
      <c r="AD120" s="256">
        <f>+AC120*('Jerarq. Riesgos Plazo'!$M$65/100+1)</f>
        <v>1.5017930534973312</v>
      </c>
      <c r="AE120" s="29"/>
      <c r="AF120" s="4"/>
      <c r="AG120" s="30"/>
    </row>
    <row r="121" spans="2:33" ht="18" x14ac:dyDescent="0.25">
      <c r="B121" s="110" t="s">
        <v>518</v>
      </c>
      <c r="C121" s="115" t="s">
        <v>760</v>
      </c>
      <c r="D121" s="112" t="s">
        <v>529</v>
      </c>
      <c r="E121" s="113" t="s">
        <v>472</v>
      </c>
      <c r="F121" s="113">
        <v>25</v>
      </c>
      <c r="G121" s="265">
        <v>0.3</v>
      </c>
      <c r="H121" s="114">
        <v>30000</v>
      </c>
      <c r="I121" s="129">
        <f t="shared" si="34"/>
        <v>750000</v>
      </c>
      <c r="J121" s="343">
        <f>+K121-'Jerarq. Riesgos Plazo'!$K$77*'Aplicación proyecto BD'!K121</f>
        <v>0.27</v>
      </c>
      <c r="K121" s="4">
        <v>0.3</v>
      </c>
      <c r="L121" s="202">
        <f>+K121*('Jerarq. Riesgos Plazo'!$L$77+1)</f>
        <v>0.47492026391385311</v>
      </c>
      <c r="M121" s="64">
        <f>+N121*(-'Jerarq. Riesgos Costos'!$J$76+1)</f>
        <v>675000</v>
      </c>
      <c r="N121" s="203">
        <f t="shared" si="35"/>
        <v>750000</v>
      </c>
      <c r="O121" s="49">
        <f>+N121*('Jerarq. Riesgos Costos'!$K$76+1)</f>
        <v>936555.48293902795</v>
      </c>
      <c r="P121" s="64">
        <f>+Q121-Q121*'Jerarq. Riesgos Plazo'!$Q$77</f>
        <v>0.27</v>
      </c>
      <c r="Q121" s="4">
        <f t="shared" si="26"/>
        <v>0.3</v>
      </c>
      <c r="R121" s="264">
        <f>+Q121+Q121*'Jerarq. Riesgos Plazo'!$R$77</f>
        <v>0.42107567285060143</v>
      </c>
      <c r="S121" s="38">
        <f>+T121*(-'Jerarq. Riesgos Costos'!$P$76+1)</f>
        <v>675000</v>
      </c>
      <c r="T121" s="203">
        <f t="shared" si="30"/>
        <v>750000</v>
      </c>
      <c r="U121" s="34">
        <f>+T121*('Jerarq. Riesgos Costos'!$Q$76+1)</f>
        <v>948721.93175611168</v>
      </c>
      <c r="V121" s="29"/>
      <c r="W121" s="4">
        <v>0.3</v>
      </c>
      <c r="X121" s="256">
        <f>+W121*('Jerarq. Riesgos Plazo'!$M$65/100+1)</f>
        <v>0.30035861069946618</v>
      </c>
      <c r="Y121" s="29"/>
      <c r="Z121" s="4"/>
      <c r="AA121" s="30"/>
      <c r="AB121" s="29"/>
      <c r="AC121" s="4">
        <v>0.3</v>
      </c>
      <c r="AD121" s="256">
        <f>+AC121*('Jerarq. Riesgos Plazo'!$M$65/100+1)</f>
        <v>0.30035861069946618</v>
      </c>
      <c r="AE121" s="29"/>
      <c r="AF121" s="4"/>
      <c r="AG121" s="30"/>
    </row>
    <row r="122" spans="2:33" ht="18" x14ac:dyDescent="0.25">
      <c r="B122" s="110" t="s">
        <v>518</v>
      </c>
      <c r="C122" s="115" t="s">
        <v>761</v>
      </c>
      <c r="D122" s="112" t="s">
        <v>530</v>
      </c>
      <c r="E122" s="113" t="s">
        <v>472</v>
      </c>
      <c r="F122" s="113">
        <v>111</v>
      </c>
      <c r="G122" s="265">
        <v>1</v>
      </c>
      <c r="H122" s="114">
        <v>25000</v>
      </c>
      <c r="I122" s="129">
        <f t="shared" si="34"/>
        <v>2775000</v>
      </c>
      <c r="J122" s="343">
        <f>+K122-'Jerarq. Riesgos Plazo'!$K$77*'Aplicación proyecto BD'!K122</f>
        <v>0.9</v>
      </c>
      <c r="K122" s="4">
        <v>1</v>
      </c>
      <c r="L122" s="202">
        <f>+K122*('Jerarq. Riesgos Plazo'!$L$77+1)</f>
        <v>1.5830675463795105</v>
      </c>
      <c r="M122" s="64">
        <f>+N122*(-'Jerarq. Riesgos Costos'!$J$76+1)</f>
        <v>2497500</v>
      </c>
      <c r="N122" s="203">
        <f t="shared" si="35"/>
        <v>2775000</v>
      </c>
      <c r="O122" s="49">
        <f>+N122*('Jerarq. Riesgos Costos'!$K$76+1)</f>
        <v>3465255.2868744032</v>
      </c>
      <c r="P122" s="64">
        <f>+Q122-Q122*'Jerarq. Riesgos Plazo'!$Q$77</f>
        <v>0.9</v>
      </c>
      <c r="Q122" s="4">
        <f t="shared" si="26"/>
        <v>1</v>
      </c>
      <c r="R122" s="264">
        <f>+Q122+Q122*'Jerarq. Riesgos Plazo'!$R$77</f>
        <v>1.4035855761686715</v>
      </c>
      <c r="S122" s="38">
        <f>+T122*(-'Jerarq. Riesgos Costos'!$P$76+1)</f>
        <v>2497500</v>
      </c>
      <c r="T122" s="203">
        <f t="shared" si="30"/>
        <v>2775000</v>
      </c>
      <c r="U122" s="34">
        <f>+T122*('Jerarq. Riesgos Costos'!$Q$76+1)</f>
        <v>3510271.147497613</v>
      </c>
      <c r="V122" s="29"/>
      <c r="W122" s="4">
        <v>1</v>
      </c>
      <c r="X122" s="256">
        <f>+W122*('Jerarq. Riesgos Plazo'!$M$65/100+1)</f>
        <v>1.0011953689982207</v>
      </c>
      <c r="Y122" s="29"/>
      <c r="Z122" s="4"/>
      <c r="AA122" s="30"/>
      <c r="AB122" s="29"/>
      <c r="AC122" s="4">
        <v>1</v>
      </c>
      <c r="AD122" s="256">
        <f>+AC122*('Jerarq. Riesgos Plazo'!$M$65/100+1)</f>
        <v>1.0011953689982207</v>
      </c>
      <c r="AE122" s="29"/>
      <c r="AF122" s="4"/>
      <c r="AG122" s="30"/>
    </row>
    <row r="123" spans="2:33" ht="18" x14ac:dyDescent="0.25">
      <c r="B123" s="110" t="s">
        <v>518</v>
      </c>
      <c r="C123" s="115" t="s">
        <v>762</v>
      </c>
      <c r="D123" s="112" t="s">
        <v>531</v>
      </c>
      <c r="E123" s="113" t="s">
        <v>472</v>
      </c>
      <c r="F123" s="113">
        <v>5</v>
      </c>
      <c r="G123" s="265">
        <v>0.2</v>
      </c>
      <c r="H123" s="114">
        <v>35000</v>
      </c>
      <c r="I123" s="129">
        <f t="shared" si="34"/>
        <v>175000</v>
      </c>
      <c r="J123" s="343">
        <f>+K123-'Jerarq. Riesgos Plazo'!$K$77*'Aplicación proyecto BD'!K123</f>
        <v>0.18</v>
      </c>
      <c r="K123" s="4">
        <v>0.2</v>
      </c>
      <c r="L123" s="202">
        <f>+K123*('Jerarq. Riesgos Plazo'!$L$77+1)</f>
        <v>0.31661350927590215</v>
      </c>
      <c r="M123" s="64">
        <f>+N123*(-'Jerarq. Riesgos Costos'!$J$76+1)</f>
        <v>157500</v>
      </c>
      <c r="N123" s="203">
        <f t="shared" si="35"/>
        <v>175000</v>
      </c>
      <c r="O123" s="49">
        <f>+N123*('Jerarq. Riesgos Costos'!$K$76+1)</f>
        <v>218529.61268577317</v>
      </c>
      <c r="P123" s="64">
        <f>+Q123-Q123*'Jerarq. Riesgos Plazo'!$Q$77</f>
        <v>0.18</v>
      </c>
      <c r="Q123" s="4">
        <f t="shared" si="26"/>
        <v>0.2</v>
      </c>
      <c r="R123" s="264">
        <f>+Q123+Q123*'Jerarq. Riesgos Plazo'!$R$77</f>
        <v>0.28071711523373433</v>
      </c>
      <c r="S123" s="38">
        <f>+T123*(-'Jerarq. Riesgos Costos'!$P$76+1)</f>
        <v>157500</v>
      </c>
      <c r="T123" s="203">
        <f t="shared" si="30"/>
        <v>175000</v>
      </c>
      <c r="U123" s="34">
        <f>+T123*('Jerarq. Riesgos Costos'!$Q$76+1)</f>
        <v>221368.45074309272</v>
      </c>
      <c r="V123" s="29"/>
      <c r="W123" s="4">
        <v>0.2</v>
      </c>
      <c r="X123" s="256">
        <f>+W123*('Jerarq. Riesgos Plazo'!$M$65/100+1)</f>
        <v>0.20023907379964415</v>
      </c>
      <c r="Y123" s="29"/>
      <c r="Z123" s="4"/>
      <c r="AA123" s="30"/>
      <c r="AB123" s="29"/>
      <c r="AC123" s="4">
        <v>0.2</v>
      </c>
      <c r="AD123" s="256">
        <f>+AC123*('Jerarq. Riesgos Plazo'!$M$65/100+1)</f>
        <v>0.20023907379964415</v>
      </c>
      <c r="AE123" s="29"/>
      <c r="AF123" s="4"/>
      <c r="AG123" s="30"/>
    </row>
    <row r="124" spans="2:33" ht="18" x14ac:dyDescent="0.25">
      <c r="B124" s="110" t="s">
        <v>518</v>
      </c>
      <c r="C124" s="115" t="s">
        <v>763</v>
      </c>
      <c r="D124" s="112" t="s">
        <v>532</v>
      </c>
      <c r="E124" s="113" t="s">
        <v>472</v>
      </c>
      <c r="F124" s="113">
        <v>150</v>
      </c>
      <c r="G124" s="265">
        <v>1.4</v>
      </c>
      <c r="H124" s="114">
        <v>13067</v>
      </c>
      <c r="I124" s="129">
        <f t="shared" si="34"/>
        <v>1960050</v>
      </c>
      <c r="J124" s="343">
        <f>+K124-'Jerarq. Riesgos Plazo'!$K$77*'Aplicación proyecto BD'!K124</f>
        <v>1.26</v>
      </c>
      <c r="K124" s="4">
        <v>1.4</v>
      </c>
      <c r="L124" s="202">
        <f>+K124*('Jerarq. Riesgos Plazo'!$L$77+1)</f>
        <v>2.2162945649313146</v>
      </c>
      <c r="M124" s="64">
        <f>+N124*(-'Jerarq. Riesgos Costos'!$J$76+1)</f>
        <v>1764045</v>
      </c>
      <c r="N124" s="203">
        <f t="shared" si="35"/>
        <v>1960050</v>
      </c>
      <c r="O124" s="49">
        <f>+N124*('Jerarq. Riesgos Costos'!$K$76+1)</f>
        <v>2447594.0991128557</v>
      </c>
      <c r="P124" s="64">
        <f>+Q124-Q124*'Jerarq. Riesgos Plazo'!$Q$77</f>
        <v>1.26</v>
      </c>
      <c r="Q124" s="4">
        <f t="shared" si="26"/>
        <v>1.4</v>
      </c>
      <c r="R124" s="264">
        <f>+Q124+Q124*'Jerarq. Riesgos Plazo'!$R$77</f>
        <v>1.96501980663614</v>
      </c>
      <c r="S124" s="38">
        <f>+T124*(-'Jerarq. Riesgos Costos'!$P$76+1)</f>
        <v>1764045</v>
      </c>
      <c r="T124" s="203">
        <f t="shared" si="30"/>
        <v>1960050</v>
      </c>
      <c r="U124" s="34">
        <f>+T124*('Jerarq. Riesgos Costos'!$Q$76+1)</f>
        <v>2479389.896451422</v>
      </c>
      <c r="V124" s="29"/>
      <c r="W124" s="4">
        <v>1.4</v>
      </c>
      <c r="X124" s="256">
        <f>+W124*('Jerarq. Riesgos Plazo'!$M$65/100+1)</f>
        <v>1.4016735165975089</v>
      </c>
      <c r="Y124" s="29"/>
      <c r="Z124" s="4"/>
      <c r="AA124" s="30"/>
      <c r="AB124" s="29"/>
      <c r="AC124" s="4">
        <v>1.4</v>
      </c>
      <c r="AD124" s="256">
        <f>+AC124*('Jerarq. Riesgos Plazo'!$M$65/100+1)</f>
        <v>1.4016735165975089</v>
      </c>
      <c r="AE124" s="29"/>
      <c r="AF124" s="4"/>
      <c r="AG124" s="30"/>
    </row>
    <row r="125" spans="2:33" ht="18" x14ac:dyDescent="0.25">
      <c r="B125" s="110" t="s">
        <v>518</v>
      </c>
      <c r="C125" s="115" t="s">
        <v>764</v>
      </c>
      <c r="D125" s="112" t="s">
        <v>665</v>
      </c>
      <c r="E125" s="113" t="s">
        <v>472</v>
      </c>
      <c r="F125" s="113">
        <v>50</v>
      </c>
      <c r="G125" s="265">
        <v>0.3</v>
      </c>
      <c r="H125" s="114">
        <v>12000</v>
      </c>
      <c r="I125" s="129">
        <f t="shared" si="34"/>
        <v>600000</v>
      </c>
      <c r="J125" s="343">
        <f>+K125-'Jerarq. Riesgos Plazo'!$K$77*'Aplicación proyecto BD'!K125</f>
        <v>0.27</v>
      </c>
      <c r="K125" s="4">
        <v>0.3</v>
      </c>
      <c r="L125" s="202">
        <f>+K125*('Jerarq. Riesgos Plazo'!$L$77+1)</f>
        <v>0.47492026391385311</v>
      </c>
      <c r="M125" s="64">
        <f>+N125*(-'Jerarq. Riesgos Costos'!$J$76+1)</f>
        <v>540000</v>
      </c>
      <c r="N125" s="203">
        <f t="shared" si="35"/>
        <v>600000</v>
      </c>
      <c r="O125" s="49">
        <f>+N125*('Jerarq. Riesgos Costos'!$K$76+1)</f>
        <v>749244.38635122229</v>
      </c>
      <c r="P125" s="64">
        <f>+Q125-Q125*'Jerarq. Riesgos Plazo'!$Q$77</f>
        <v>0.27</v>
      </c>
      <c r="Q125" s="4">
        <f t="shared" si="26"/>
        <v>0.3</v>
      </c>
      <c r="R125" s="264">
        <f>+Q125+Q125*'Jerarq. Riesgos Plazo'!$R$77</f>
        <v>0.42107567285060143</v>
      </c>
      <c r="S125" s="38">
        <f>+T125*(-'Jerarq. Riesgos Costos'!$P$76+1)</f>
        <v>540000</v>
      </c>
      <c r="T125" s="203">
        <f t="shared" si="30"/>
        <v>600000</v>
      </c>
      <c r="U125" s="34">
        <f>+T125*('Jerarq. Riesgos Costos'!$Q$76+1)</f>
        <v>758977.54540488927</v>
      </c>
      <c r="V125" s="29"/>
      <c r="W125" s="4">
        <v>0.3</v>
      </c>
      <c r="X125" s="256">
        <f>+W125*('Jerarq. Riesgos Plazo'!$M$65/100+1)</f>
        <v>0.30035861069946618</v>
      </c>
      <c r="Y125" s="29"/>
      <c r="Z125" s="4"/>
      <c r="AA125" s="30"/>
      <c r="AB125" s="29"/>
      <c r="AC125" s="4">
        <v>0.3</v>
      </c>
      <c r="AD125" s="256">
        <f>+AC125*('Jerarq. Riesgos Plazo'!$M$65/100+1)</f>
        <v>0.30035861069946618</v>
      </c>
      <c r="AE125" s="29"/>
      <c r="AF125" s="4"/>
      <c r="AG125" s="30"/>
    </row>
    <row r="126" spans="2:33" ht="18" x14ac:dyDescent="0.25">
      <c r="B126" s="110" t="s">
        <v>518</v>
      </c>
      <c r="C126" s="115" t="s">
        <v>765</v>
      </c>
      <c r="D126" s="112" t="s">
        <v>533</v>
      </c>
      <c r="E126" s="113" t="s">
        <v>472</v>
      </c>
      <c r="F126" s="113">
        <v>410</v>
      </c>
      <c r="G126" s="265">
        <v>1.5</v>
      </c>
      <c r="H126" s="114">
        <v>16000</v>
      </c>
      <c r="I126" s="129">
        <f t="shared" si="34"/>
        <v>6560000</v>
      </c>
      <c r="J126" s="343">
        <f>+K126-'Jerarq. Riesgos Plazo'!$K$77*'Aplicación proyecto BD'!K126</f>
        <v>1.35</v>
      </c>
      <c r="K126" s="4">
        <v>1.5</v>
      </c>
      <c r="L126" s="202">
        <f>+K126*('Jerarq. Riesgos Plazo'!$L$77+1)</f>
        <v>2.3746013195692659</v>
      </c>
      <c r="M126" s="64">
        <f>+N126*(-'Jerarq. Riesgos Costos'!$J$76+1)</f>
        <v>5904000</v>
      </c>
      <c r="N126" s="203">
        <f t="shared" si="35"/>
        <v>6560000</v>
      </c>
      <c r="O126" s="49">
        <f>+N126*('Jerarq. Riesgos Costos'!$K$76+1)</f>
        <v>8191738.6241066977</v>
      </c>
      <c r="P126" s="64">
        <f>+Q126-Q126*'Jerarq. Riesgos Plazo'!$Q$77</f>
        <v>1.35</v>
      </c>
      <c r="Q126" s="4">
        <f t="shared" si="26"/>
        <v>1.5</v>
      </c>
      <c r="R126" s="264">
        <f>+Q126+Q126*'Jerarq. Riesgos Plazo'!$R$77</f>
        <v>2.1053783642530073</v>
      </c>
      <c r="S126" s="38">
        <f>+T126*(-'Jerarq. Riesgos Costos'!$P$76+1)</f>
        <v>5904000</v>
      </c>
      <c r="T126" s="203">
        <f t="shared" si="30"/>
        <v>6560000</v>
      </c>
      <c r="U126" s="34">
        <f>+T126*('Jerarq. Riesgos Costos'!$Q$76+1)</f>
        <v>8298154.49642679</v>
      </c>
      <c r="V126" s="29"/>
      <c r="W126" s="4">
        <v>1.5</v>
      </c>
      <c r="X126" s="256">
        <f>+W126*('Jerarq. Riesgos Plazo'!$M$65/100+1)</f>
        <v>1.5017930534973312</v>
      </c>
      <c r="Y126" s="29"/>
      <c r="Z126" s="4"/>
      <c r="AA126" s="30"/>
      <c r="AB126" s="29"/>
      <c r="AC126" s="4">
        <v>1.5</v>
      </c>
      <c r="AD126" s="256">
        <f>+AC126*('Jerarq. Riesgos Plazo'!$M$65/100+1)</f>
        <v>1.5017930534973312</v>
      </c>
      <c r="AE126" s="29"/>
      <c r="AF126" s="4"/>
      <c r="AG126" s="30"/>
    </row>
    <row r="127" spans="2:33" ht="18" x14ac:dyDescent="0.25">
      <c r="B127" s="110" t="s">
        <v>518</v>
      </c>
      <c r="C127" s="115" t="s">
        <v>766</v>
      </c>
      <c r="D127" s="112" t="s">
        <v>534</v>
      </c>
      <c r="E127" s="113" t="s">
        <v>472</v>
      </c>
      <c r="F127" s="113">
        <v>320</v>
      </c>
      <c r="G127" s="265">
        <v>0.9</v>
      </c>
      <c r="H127" s="114">
        <v>25000</v>
      </c>
      <c r="I127" s="129">
        <f t="shared" si="34"/>
        <v>8000000</v>
      </c>
      <c r="J127" s="343">
        <f>+K127-'Jerarq. Riesgos Plazo'!$K$77*'Aplicación proyecto BD'!K127</f>
        <v>0.81</v>
      </c>
      <c r="K127" s="4">
        <v>0.9</v>
      </c>
      <c r="L127" s="202">
        <f>+K127*('Jerarq. Riesgos Plazo'!$L$77+1)</f>
        <v>1.4247607917415595</v>
      </c>
      <c r="M127" s="64">
        <f>+N127*(-'Jerarq. Riesgos Costos'!$J$76+1)</f>
        <v>7200000</v>
      </c>
      <c r="N127" s="203">
        <f t="shared" si="35"/>
        <v>8000000</v>
      </c>
      <c r="O127" s="49">
        <f>+N127*('Jerarq. Riesgos Costos'!$K$76+1)</f>
        <v>9989925.1513496302</v>
      </c>
      <c r="P127" s="64">
        <f>+Q127-Q127*'Jerarq. Riesgos Plazo'!$Q$77</f>
        <v>0.81</v>
      </c>
      <c r="Q127" s="4">
        <f t="shared" si="26"/>
        <v>0.9</v>
      </c>
      <c r="R127" s="264">
        <f>+Q127+Q127*'Jerarq. Riesgos Plazo'!$R$77</f>
        <v>1.2632270185518042</v>
      </c>
      <c r="S127" s="38">
        <f>+T127*(-'Jerarq. Riesgos Costos'!$P$76+1)</f>
        <v>7200000</v>
      </c>
      <c r="T127" s="203">
        <f t="shared" si="30"/>
        <v>8000000</v>
      </c>
      <c r="U127" s="34">
        <f>+T127*('Jerarq. Riesgos Costos'!$Q$76+1)</f>
        <v>10119700.605398525</v>
      </c>
      <c r="V127" s="29"/>
      <c r="W127" s="4">
        <v>0.9</v>
      </c>
      <c r="X127" s="256">
        <f>+W127*('Jerarq. Riesgos Plazo'!$M$65/100+1)</f>
        <v>0.9010758320983987</v>
      </c>
      <c r="Y127" s="29"/>
      <c r="Z127" s="4"/>
      <c r="AA127" s="30"/>
      <c r="AB127" s="29"/>
      <c r="AC127" s="4">
        <v>0.9</v>
      </c>
      <c r="AD127" s="256">
        <f>+AC127*('Jerarq. Riesgos Plazo'!$M$65/100+1)</f>
        <v>0.9010758320983987</v>
      </c>
      <c r="AE127" s="29"/>
      <c r="AF127" s="4"/>
      <c r="AG127" s="30"/>
    </row>
    <row r="128" spans="2:33" ht="18" x14ac:dyDescent="0.25">
      <c r="B128" s="110" t="s">
        <v>518</v>
      </c>
      <c r="C128" s="115" t="s">
        <v>767</v>
      </c>
      <c r="D128" s="112" t="s">
        <v>535</v>
      </c>
      <c r="E128" s="113" t="s">
        <v>472</v>
      </c>
      <c r="F128" s="113">
        <v>440</v>
      </c>
      <c r="G128" s="265">
        <v>1</v>
      </c>
      <c r="H128" s="114">
        <v>25000</v>
      </c>
      <c r="I128" s="129">
        <f t="shared" si="34"/>
        <v>11000000</v>
      </c>
      <c r="J128" s="343">
        <f>+K128-'Jerarq. Riesgos Plazo'!$K$77*'Aplicación proyecto BD'!K128</f>
        <v>0.9</v>
      </c>
      <c r="K128" s="4">
        <v>1</v>
      </c>
      <c r="L128" s="202">
        <f>+K128*('Jerarq. Riesgos Plazo'!$L$77+1)</f>
        <v>1.5830675463795105</v>
      </c>
      <c r="M128" s="64">
        <f>+N128*(-'Jerarq. Riesgos Costos'!$J$76+1)</f>
        <v>9900000</v>
      </c>
      <c r="N128" s="203">
        <f t="shared" si="35"/>
        <v>11000000</v>
      </c>
      <c r="O128" s="49">
        <f>+N128*('Jerarq. Riesgos Costos'!$K$76+1)</f>
        <v>13736147.083105743</v>
      </c>
      <c r="P128" s="64">
        <f>+Q128-Q128*'Jerarq. Riesgos Plazo'!$Q$77</f>
        <v>0.9</v>
      </c>
      <c r="Q128" s="4">
        <f t="shared" si="26"/>
        <v>1</v>
      </c>
      <c r="R128" s="264">
        <f>+Q128+Q128*'Jerarq. Riesgos Plazo'!$R$77</f>
        <v>1.4035855761686715</v>
      </c>
      <c r="S128" s="38">
        <f>+T128*(-'Jerarq. Riesgos Costos'!$P$76+1)</f>
        <v>9900000</v>
      </c>
      <c r="T128" s="203">
        <f t="shared" si="30"/>
        <v>11000000</v>
      </c>
      <c r="U128" s="34">
        <f>+T128*('Jerarq. Riesgos Costos'!$Q$76+1)</f>
        <v>13914588.33242297</v>
      </c>
      <c r="V128" s="29"/>
      <c r="W128" s="4">
        <v>1</v>
      </c>
      <c r="X128" s="256">
        <f>+W128*('Jerarq. Riesgos Plazo'!$M$65/100+1)</f>
        <v>1.0011953689982207</v>
      </c>
      <c r="Y128" s="29"/>
      <c r="Z128" s="4"/>
      <c r="AA128" s="30"/>
      <c r="AB128" s="29"/>
      <c r="AC128" s="4">
        <v>1</v>
      </c>
      <c r="AD128" s="256">
        <f>+AC128*('Jerarq. Riesgos Plazo'!$M$65/100+1)</f>
        <v>1.0011953689982207</v>
      </c>
      <c r="AE128" s="29"/>
      <c r="AF128" s="4"/>
      <c r="AG128" s="30"/>
    </row>
    <row r="129" spans="2:33" ht="18" x14ac:dyDescent="0.25">
      <c r="B129" s="110" t="s">
        <v>518</v>
      </c>
      <c r="C129" s="115" t="s">
        <v>768</v>
      </c>
      <c r="D129" s="112" t="s">
        <v>536</v>
      </c>
      <c r="E129" s="113" t="s">
        <v>472</v>
      </c>
      <c r="F129" s="113">
        <v>710</v>
      </c>
      <c r="G129" s="265">
        <v>1</v>
      </c>
      <c r="H129" s="114">
        <v>16000</v>
      </c>
      <c r="I129" s="129">
        <f t="shared" si="34"/>
        <v>11360000</v>
      </c>
      <c r="J129" s="343">
        <f>+K129-'Jerarq. Riesgos Plazo'!$K$77*'Aplicación proyecto BD'!K129</f>
        <v>0.9</v>
      </c>
      <c r="K129" s="4">
        <v>1</v>
      </c>
      <c r="L129" s="202">
        <f>+K129*('Jerarq. Riesgos Plazo'!$L$77+1)</f>
        <v>1.5830675463795105</v>
      </c>
      <c r="M129" s="64">
        <f>+N129*(-'Jerarq. Riesgos Costos'!$J$76+1)</f>
        <v>10224000</v>
      </c>
      <c r="N129" s="203">
        <f t="shared" si="35"/>
        <v>11360000</v>
      </c>
      <c r="O129" s="49">
        <f>+N129*('Jerarq. Riesgos Costos'!$K$76+1)</f>
        <v>14185693.714916475</v>
      </c>
      <c r="P129" s="64">
        <f>+Q129-Q129*'Jerarq. Riesgos Plazo'!$Q$77</f>
        <v>0.9</v>
      </c>
      <c r="Q129" s="4">
        <f t="shared" si="26"/>
        <v>1</v>
      </c>
      <c r="R129" s="264">
        <f>+Q129+Q129*'Jerarq. Riesgos Plazo'!$R$77</f>
        <v>1.4035855761686715</v>
      </c>
      <c r="S129" s="38">
        <f>+T129*(-'Jerarq. Riesgos Costos'!$P$76+1)</f>
        <v>10224000</v>
      </c>
      <c r="T129" s="203">
        <f t="shared" si="30"/>
        <v>11360000</v>
      </c>
      <c r="U129" s="34">
        <f>+T129*('Jerarq. Riesgos Costos'!$Q$76+1)</f>
        <v>14369974.859665904</v>
      </c>
      <c r="V129" s="29"/>
      <c r="W129" s="4">
        <v>1</v>
      </c>
      <c r="X129" s="256">
        <f>+W129*('Jerarq. Riesgos Plazo'!$M$65/100+1)</f>
        <v>1.0011953689982207</v>
      </c>
      <c r="Y129" s="29"/>
      <c r="Z129" s="4"/>
      <c r="AA129" s="30"/>
      <c r="AB129" s="29"/>
      <c r="AC129" s="4">
        <v>1</v>
      </c>
      <c r="AD129" s="256">
        <f>+AC129*('Jerarq. Riesgos Plazo'!$M$65/100+1)</f>
        <v>1.0011953689982207</v>
      </c>
      <c r="AE129" s="29"/>
      <c r="AF129" s="4"/>
      <c r="AG129" s="30"/>
    </row>
    <row r="130" spans="2:33" ht="18" x14ac:dyDescent="0.25">
      <c r="B130" s="110" t="s">
        <v>518</v>
      </c>
      <c r="C130" s="115" t="s">
        <v>769</v>
      </c>
      <c r="D130" s="112" t="s">
        <v>537</v>
      </c>
      <c r="E130" s="113" t="s">
        <v>472</v>
      </c>
      <c r="F130" s="113">
        <v>460</v>
      </c>
      <c r="G130" s="265">
        <v>0.9</v>
      </c>
      <c r="H130" s="114">
        <v>12000</v>
      </c>
      <c r="I130" s="129">
        <f t="shared" si="34"/>
        <v>5520000</v>
      </c>
      <c r="J130" s="343">
        <f>+K130-'Jerarq. Riesgos Plazo'!$K$77*'Aplicación proyecto BD'!K130</f>
        <v>0.81</v>
      </c>
      <c r="K130" s="4">
        <v>0.9</v>
      </c>
      <c r="L130" s="202">
        <f>+K130*('Jerarq. Riesgos Plazo'!$L$77+1)</f>
        <v>1.4247607917415595</v>
      </c>
      <c r="M130" s="64">
        <f>+N130*(-'Jerarq. Riesgos Costos'!$J$76+1)</f>
        <v>4968000</v>
      </c>
      <c r="N130" s="203">
        <f t="shared" si="35"/>
        <v>5520000</v>
      </c>
      <c r="O130" s="49">
        <f>+N130*('Jerarq. Riesgos Costos'!$K$76+1)</f>
        <v>6893048.3544312455</v>
      </c>
      <c r="P130" s="64">
        <f>+Q130-Q130*'Jerarq. Riesgos Plazo'!$Q$77</f>
        <v>0.81</v>
      </c>
      <c r="Q130" s="4">
        <f t="shared" si="26"/>
        <v>0.9</v>
      </c>
      <c r="R130" s="264">
        <f>+Q130+Q130*'Jerarq. Riesgos Plazo'!$R$77</f>
        <v>1.2632270185518042</v>
      </c>
      <c r="S130" s="38">
        <f>+T130*(-'Jerarq. Riesgos Costos'!$P$76+1)</f>
        <v>4968000</v>
      </c>
      <c r="T130" s="203">
        <f t="shared" si="30"/>
        <v>5520000</v>
      </c>
      <c r="U130" s="34">
        <f>+T130*('Jerarq. Riesgos Costos'!$Q$76+1)</f>
        <v>6982593.4177249819</v>
      </c>
      <c r="V130" s="29"/>
      <c r="W130" s="4">
        <v>0.9</v>
      </c>
      <c r="X130" s="256">
        <f>+W130*('Jerarq. Riesgos Plazo'!$M$65/100+1)</f>
        <v>0.9010758320983987</v>
      </c>
      <c r="Y130" s="29"/>
      <c r="Z130" s="4"/>
      <c r="AA130" s="30"/>
      <c r="AB130" s="29"/>
      <c r="AC130" s="4">
        <v>0.9</v>
      </c>
      <c r="AD130" s="256">
        <f>+AC130*('Jerarq. Riesgos Plazo'!$M$65/100+1)</f>
        <v>0.9010758320983987</v>
      </c>
      <c r="AE130" s="29"/>
      <c r="AF130" s="4"/>
      <c r="AG130" s="30"/>
    </row>
    <row r="131" spans="2:33" ht="18" x14ac:dyDescent="0.25">
      <c r="B131" s="110" t="s">
        <v>518</v>
      </c>
      <c r="C131" s="115" t="s">
        <v>770</v>
      </c>
      <c r="D131" s="112" t="s">
        <v>538</v>
      </c>
      <c r="E131" s="113" t="s">
        <v>472</v>
      </c>
      <c r="F131" s="113">
        <v>30</v>
      </c>
      <c r="G131" s="265">
        <v>0.2</v>
      </c>
      <c r="H131" s="114">
        <v>16000</v>
      </c>
      <c r="I131" s="129">
        <f t="shared" si="34"/>
        <v>480000</v>
      </c>
      <c r="J131" s="343">
        <f>+K131-'Jerarq. Riesgos Plazo'!$K$77*'Aplicación proyecto BD'!K131</f>
        <v>0.18</v>
      </c>
      <c r="K131" s="4">
        <v>0.2</v>
      </c>
      <c r="L131" s="202">
        <f>+K131*('Jerarq. Riesgos Plazo'!$L$77+1)</f>
        <v>0.31661350927590215</v>
      </c>
      <c r="M131" s="64">
        <f>+N131*(-'Jerarq. Riesgos Costos'!$J$76+1)</f>
        <v>432000</v>
      </c>
      <c r="N131" s="203">
        <f t="shared" si="35"/>
        <v>480000</v>
      </c>
      <c r="O131" s="49">
        <f>+N131*('Jerarq. Riesgos Costos'!$K$76+1)</f>
        <v>599395.50908097788</v>
      </c>
      <c r="P131" s="64">
        <f>+Q131-Q131*'Jerarq. Riesgos Plazo'!$Q$77</f>
        <v>0.18</v>
      </c>
      <c r="Q131" s="4">
        <f t="shared" si="26"/>
        <v>0.2</v>
      </c>
      <c r="R131" s="264">
        <f>+Q131+Q131*'Jerarq. Riesgos Plazo'!$R$77</f>
        <v>0.28071711523373433</v>
      </c>
      <c r="S131" s="38">
        <f>+T131*(-'Jerarq. Riesgos Costos'!$P$76+1)</f>
        <v>432000</v>
      </c>
      <c r="T131" s="203">
        <f t="shared" si="30"/>
        <v>480000</v>
      </c>
      <c r="U131" s="34">
        <f>+T131*('Jerarq. Riesgos Costos'!$Q$76+1)</f>
        <v>607182.03632391139</v>
      </c>
      <c r="V131" s="29"/>
      <c r="W131" s="4">
        <v>0.2</v>
      </c>
      <c r="X131" s="256">
        <f>+W131*('Jerarq. Riesgos Plazo'!$M$65/100+1)</f>
        <v>0.20023907379964415</v>
      </c>
      <c r="Y131" s="29"/>
      <c r="Z131" s="4"/>
      <c r="AA131" s="30"/>
      <c r="AB131" s="29"/>
      <c r="AC131" s="4">
        <v>0.2</v>
      </c>
      <c r="AD131" s="256">
        <f>+AC131*('Jerarq. Riesgos Plazo'!$M$65/100+1)</f>
        <v>0.20023907379964415</v>
      </c>
      <c r="AE131" s="29"/>
      <c r="AF131" s="4"/>
      <c r="AG131" s="30"/>
    </row>
    <row r="132" spans="2:33" ht="18" x14ac:dyDescent="0.25">
      <c r="B132" s="110" t="s">
        <v>518</v>
      </c>
      <c r="C132" s="115" t="s">
        <v>771</v>
      </c>
      <c r="D132" s="112" t="s">
        <v>539</v>
      </c>
      <c r="E132" s="113" t="s">
        <v>472</v>
      </c>
      <c r="F132" s="113">
        <v>280</v>
      </c>
      <c r="G132" s="265">
        <v>2</v>
      </c>
      <c r="H132" s="114">
        <v>12000</v>
      </c>
      <c r="I132" s="129">
        <f t="shared" si="34"/>
        <v>3360000</v>
      </c>
      <c r="J132" s="343">
        <f>+K132-'Jerarq. Riesgos Plazo'!$K$77*'Aplicación proyecto BD'!K132</f>
        <v>1.8</v>
      </c>
      <c r="K132" s="4">
        <v>2</v>
      </c>
      <c r="L132" s="202">
        <f>+K132*('Jerarq. Riesgos Plazo'!$L$77+1)</f>
        <v>3.1661350927590211</v>
      </c>
      <c r="M132" s="64">
        <f>+N132*(-'Jerarq. Riesgos Costos'!$J$76+1)</f>
        <v>3024000</v>
      </c>
      <c r="N132" s="203">
        <f t="shared" si="35"/>
        <v>3360000</v>
      </c>
      <c r="O132" s="49">
        <f>+N132*('Jerarq. Riesgos Costos'!$K$76+1)</f>
        <v>4195768.5635668449</v>
      </c>
      <c r="P132" s="64">
        <f>+Q132-Q132*'Jerarq. Riesgos Plazo'!$Q$77</f>
        <v>1.8</v>
      </c>
      <c r="Q132" s="4">
        <f t="shared" si="26"/>
        <v>2</v>
      </c>
      <c r="R132" s="264">
        <f>+Q132+Q132*'Jerarq. Riesgos Plazo'!$R$77</f>
        <v>2.807171152337343</v>
      </c>
      <c r="S132" s="38">
        <f>+T132*(-'Jerarq. Riesgos Costos'!$P$76+1)</f>
        <v>3024000</v>
      </c>
      <c r="T132" s="203">
        <f t="shared" si="30"/>
        <v>3360000</v>
      </c>
      <c r="U132" s="34">
        <f>+T132*('Jerarq. Riesgos Costos'!$Q$76+1)</f>
        <v>4250274.2542673806</v>
      </c>
      <c r="V132" s="29"/>
      <c r="W132" s="4">
        <v>2</v>
      </c>
      <c r="X132" s="256">
        <f>+W132*('Jerarq. Riesgos Plazo'!$M$65/100+1)</f>
        <v>2.0023907379964414</v>
      </c>
      <c r="Y132" s="29"/>
      <c r="Z132" s="4"/>
      <c r="AA132" s="30"/>
      <c r="AB132" s="29"/>
      <c r="AC132" s="4">
        <v>2</v>
      </c>
      <c r="AD132" s="256">
        <f>+AC132*('Jerarq. Riesgos Plazo'!$M$65/100+1)</f>
        <v>2.0023907379964414</v>
      </c>
      <c r="AE132" s="29"/>
      <c r="AF132" s="4"/>
      <c r="AG132" s="30"/>
    </row>
    <row r="133" spans="2:33" ht="18" x14ac:dyDescent="0.25">
      <c r="B133" s="110" t="s">
        <v>518</v>
      </c>
      <c r="C133" s="115" t="s">
        <v>772</v>
      </c>
      <c r="D133" s="112" t="s">
        <v>540</v>
      </c>
      <c r="E133" s="113" t="s">
        <v>472</v>
      </c>
      <c r="F133" s="113">
        <v>439</v>
      </c>
      <c r="G133" s="265">
        <v>1</v>
      </c>
      <c r="H133" s="114">
        <v>6000</v>
      </c>
      <c r="I133" s="129">
        <f t="shared" si="34"/>
        <v>2634000</v>
      </c>
      <c r="J133" s="343">
        <f>+K133-'Jerarq. Riesgos Plazo'!$K$77*'Aplicación proyecto BD'!K133</f>
        <v>0.9</v>
      </c>
      <c r="K133" s="4">
        <v>1</v>
      </c>
      <c r="L133" s="202">
        <f>+K133*('Jerarq. Riesgos Plazo'!$L$77+1)</f>
        <v>1.5830675463795105</v>
      </c>
      <c r="M133" s="64">
        <f>+N133*(-'Jerarq. Riesgos Costos'!$J$76+1)</f>
        <v>2370600</v>
      </c>
      <c r="N133" s="203">
        <f t="shared" si="35"/>
        <v>2634000</v>
      </c>
      <c r="O133" s="49">
        <f>+N133*('Jerarq. Riesgos Costos'!$K$76+1)</f>
        <v>3289182.8560818662</v>
      </c>
      <c r="P133" s="64">
        <f>+Q133-Q133*'Jerarq. Riesgos Plazo'!$Q$77</f>
        <v>0.9</v>
      </c>
      <c r="Q133" s="4">
        <f t="shared" si="26"/>
        <v>1</v>
      </c>
      <c r="R133" s="264">
        <f>+Q133+Q133*'Jerarq. Riesgos Plazo'!$R$77</f>
        <v>1.4035855761686715</v>
      </c>
      <c r="S133" s="38">
        <f>+T133*(-'Jerarq. Riesgos Costos'!$P$76+1)</f>
        <v>2370600</v>
      </c>
      <c r="T133" s="203">
        <f t="shared" si="30"/>
        <v>2634000</v>
      </c>
      <c r="U133" s="34">
        <f>+T133*('Jerarq. Riesgos Costos'!$Q$76+1)</f>
        <v>3331911.4243274638</v>
      </c>
      <c r="V133" s="29"/>
      <c r="W133" s="4">
        <v>1</v>
      </c>
      <c r="X133" s="256">
        <f>+W133*('Jerarq. Riesgos Plazo'!$M$65/100+1)</f>
        <v>1.0011953689982207</v>
      </c>
      <c r="Y133" s="29"/>
      <c r="Z133" s="4"/>
      <c r="AA133" s="30"/>
      <c r="AB133" s="29"/>
      <c r="AC133" s="4">
        <v>1</v>
      </c>
      <c r="AD133" s="256">
        <f>+AC133*('Jerarq. Riesgos Plazo'!$M$65/100+1)</f>
        <v>1.0011953689982207</v>
      </c>
      <c r="AE133" s="29"/>
      <c r="AF133" s="4"/>
      <c r="AG133" s="30"/>
    </row>
    <row r="134" spans="2:33" ht="18" x14ac:dyDescent="0.25">
      <c r="B134" s="110" t="s">
        <v>518</v>
      </c>
      <c r="C134" s="115" t="s">
        <v>773</v>
      </c>
      <c r="D134" s="112" t="s">
        <v>541</v>
      </c>
      <c r="E134" s="113" t="s">
        <v>472</v>
      </c>
      <c r="F134" s="113">
        <v>40</v>
      </c>
      <c r="G134" s="265">
        <v>0.2</v>
      </c>
      <c r="H134" s="114">
        <v>6000</v>
      </c>
      <c r="I134" s="129">
        <f t="shared" si="34"/>
        <v>240000</v>
      </c>
      <c r="J134" s="343">
        <f>+K134-'Jerarq. Riesgos Plazo'!$K$77*'Aplicación proyecto BD'!K134</f>
        <v>0.18</v>
      </c>
      <c r="K134" s="4">
        <v>0.2</v>
      </c>
      <c r="L134" s="202">
        <f>+K134*('Jerarq. Riesgos Plazo'!$L$77+1)</f>
        <v>0.31661350927590215</v>
      </c>
      <c r="M134" s="64">
        <f>+N134*(-'Jerarq. Riesgos Costos'!$J$76+1)</f>
        <v>216000</v>
      </c>
      <c r="N134" s="203">
        <f t="shared" si="35"/>
        <v>240000</v>
      </c>
      <c r="O134" s="49">
        <f>+N134*('Jerarq. Riesgos Costos'!$K$76+1)</f>
        <v>299697.75454048894</v>
      </c>
      <c r="P134" s="64">
        <f>+Q134-Q134*'Jerarq. Riesgos Plazo'!$Q$77</f>
        <v>0.18</v>
      </c>
      <c r="Q134" s="4">
        <f t="shared" si="26"/>
        <v>0.2</v>
      </c>
      <c r="R134" s="264">
        <f>+Q134+Q134*'Jerarq. Riesgos Plazo'!$R$77</f>
        <v>0.28071711523373433</v>
      </c>
      <c r="S134" s="38">
        <f>+T134*(-'Jerarq. Riesgos Costos'!$P$76+1)</f>
        <v>216000</v>
      </c>
      <c r="T134" s="203">
        <f t="shared" si="30"/>
        <v>240000</v>
      </c>
      <c r="U134" s="34">
        <f>+T134*('Jerarq. Riesgos Costos'!$Q$76+1)</f>
        <v>303591.0181619557</v>
      </c>
      <c r="V134" s="29"/>
      <c r="W134" s="4">
        <v>0.2</v>
      </c>
      <c r="X134" s="256">
        <f>+W134*('Jerarq. Riesgos Plazo'!$M$65/100+1)</f>
        <v>0.20023907379964415</v>
      </c>
      <c r="Y134" s="29"/>
      <c r="Z134" s="4"/>
      <c r="AA134" s="30"/>
      <c r="AB134" s="29"/>
      <c r="AC134" s="4">
        <v>0.2</v>
      </c>
      <c r="AD134" s="256">
        <f>+AC134*('Jerarq. Riesgos Plazo'!$M$65/100+1)</f>
        <v>0.20023907379964415</v>
      </c>
      <c r="AE134" s="29"/>
      <c r="AF134" s="4"/>
      <c r="AG134" s="30"/>
    </row>
    <row r="135" spans="2:33" ht="18" x14ac:dyDescent="0.25">
      <c r="B135" s="110" t="s">
        <v>518</v>
      </c>
      <c r="C135" s="115" t="s">
        <v>774</v>
      </c>
      <c r="D135" s="112" t="s">
        <v>542</v>
      </c>
      <c r="E135" s="113" t="s">
        <v>472</v>
      </c>
      <c r="F135" s="113">
        <v>24</v>
      </c>
      <c r="G135" s="265">
        <v>0.1</v>
      </c>
      <c r="H135" s="114">
        <v>6000</v>
      </c>
      <c r="I135" s="129">
        <f t="shared" si="34"/>
        <v>144000</v>
      </c>
      <c r="J135" s="343">
        <f>+K135-'Jerarq. Riesgos Plazo'!$K$77*'Aplicación proyecto BD'!K135</f>
        <v>0.09</v>
      </c>
      <c r="K135" s="4">
        <v>0.1</v>
      </c>
      <c r="L135" s="202">
        <f>+K135*('Jerarq. Riesgos Plazo'!$L$77+1)</f>
        <v>0.15830675463795107</v>
      </c>
      <c r="M135" s="64">
        <f>+N135*(-'Jerarq. Riesgos Costos'!$J$76+1)</f>
        <v>129600</v>
      </c>
      <c r="N135" s="203">
        <f t="shared" si="35"/>
        <v>144000</v>
      </c>
      <c r="O135" s="49">
        <f>+N135*('Jerarq. Riesgos Costos'!$K$76+1)</f>
        <v>179818.65272429335</v>
      </c>
      <c r="P135" s="64">
        <f>+Q135-Q135*'Jerarq. Riesgos Plazo'!$Q$77</f>
        <v>0.09</v>
      </c>
      <c r="Q135" s="4">
        <f t="shared" si="26"/>
        <v>0.1</v>
      </c>
      <c r="R135" s="264">
        <f>+Q135+Q135*'Jerarq. Riesgos Plazo'!$R$77</f>
        <v>0.14035855761686716</v>
      </c>
      <c r="S135" s="38">
        <f>+T135*(-'Jerarq. Riesgos Costos'!$P$76+1)</f>
        <v>129600</v>
      </c>
      <c r="T135" s="203">
        <f t="shared" si="30"/>
        <v>144000</v>
      </c>
      <c r="U135" s="34">
        <f>+T135*('Jerarq. Riesgos Costos'!$Q$76+1)</f>
        <v>182154.61089717344</v>
      </c>
      <c r="V135" s="29"/>
      <c r="W135" s="4">
        <v>0.1</v>
      </c>
      <c r="X135" s="256">
        <f>+W135*('Jerarq. Riesgos Plazo'!$M$65/100+1)</f>
        <v>0.10011953689982207</v>
      </c>
      <c r="Y135" s="29"/>
      <c r="Z135" s="4"/>
      <c r="AA135" s="30"/>
      <c r="AB135" s="29"/>
      <c r="AC135" s="4">
        <v>0.1</v>
      </c>
      <c r="AD135" s="256">
        <f>+AC135*('Jerarq. Riesgos Plazo'!$M$65/100+1)</f>
        <v>0.10011953689982207</v>
      </c>
      <c r="AE135" s="29"/>
      <c r="AF135" s="4"/>
      <c r="AG135" s="30"/>
    </row>
    <row r="136" spans="2:33" ht="18" x14ac:dyDescent="0.25">
      <c r="B136" s="110" t="s">
        <v>518</v>
      </c>
      <c r="C136" s="115" t="s">
        <v>775</v>
      </c>
      <c r="D136" s="112" t="s">
        <v>543</v>
      </c>
      <c r="E136" s="113" t="s">
        <v>472</v>
      </c>
      <c r="F136" s="113">
        <v>52</v>
      </c>
      <c r="G136" s="265">
        <v>0.2</v>
      </c>
      <c r="H136" s="114">
        <v>6000</v>
      </c>
      <c r="I136" s="129">
        <f t="shared" si="34"/>
        <v>312000</v>
      </c>
      <c r="J136" s="343">
        <f>+K136-'Jerarq. Riesgos Plazo'!$K$77*'Aplicación proyecto BD'!K136</f>
        <v>0.18</v>
      </c>
      <c r="K136" s="4">
        <v>0.2</v>
      </c>
      <c r="L136" s="202">
        <f>+K136*('Jerarq. Riesgos Plazo'!$L$77+1)</f>
        <v>0.31661350927590215</v>
      </c>
      <c r="M136" s="64">
        <f>+N136*(-'Jerarq. Riesgos Costos'!$J$76+1)</f>
        <v>280800</v>
      </c>
      <c r="N136" s="203">
        <f t="shared" si="35"/>
        <v>312000</v>
      </c>
      <c r="O136" s="49">
        <f>+N136*('Jerarq. Riesgos Costos'!$K$76+1)</f>
        <v>389607.08090263559</v>
      </c>
      <c r="P136" s="64">
        <f>+Q136-Q136*'Jerarq. Riesgos Plazo'!$Q$77</f>
        <v>0.18</v>
      </c>
      <c r="Q136" s="4">
        <f t="shared" si="26"/>
        <v>0.2</v>
      </c>
      <c r="R136" s="264">
        <f>+Q136+Q136*'Jerarq. Riesgos Plazo'!$R$77</f>
        <v>0.28071711523373433</v>
      </c>
      <c r="S136" s="38">
        <f>+T136*(-'Jerarq. Riesgos Costos'!$P$76+1)</f>
        <v>280800</v>
      </c>
      <c r="T136" s="203">
        <f t="shared" si="30"/>
        <v>312000</v>
      </c>
      <c r="U136" s="34">
        <f>+T136*('Jerarq. Riesgos Costos'!$Q$76+1)</f>
        <v>394668.32361054246</v>
      </c>
      <c r="V136" s="29"/>
      <c r="W136" s="4">
        <v>0.2</v>
      </c>
      <c r="X136" s="256">
        <f>+W136*('Jerarq. Riesgos Plazo'!$M$65/100+1)</f>
        <v>0.20023907379964415</v>
      </c>
      <c r="Y136" s="29"/>
      <c r="Z136" s="4"/>
      <c r="AA136" s="30"/>
      <c r="AB136" s="29"/>
      <c r="AC136" s="4">
        <v>0.2</v>
      </c>
      <c r="AD136" s="256">
        <f>+AC136*('Jerarq. Riesgos Plazo'!$M$65/100+1)</f>
        <v>0.20023907379964415</v>
      </c>
      <c r="AE136" s="29"/>
      <c r="AF136" s="4"/>
      <c r="AG136" s="30"/>
    </row>
    <row r="137" spans="2:33" ht="18" x14ac:dyDescent="0.25">
      <c r="B137" s="110" t="s">
        <v>518</v>
      </c>
      <c r="C137" s="115" t="s">
        <v>776</v>
      </c>
      <c r="D137" s="112" t="s">
        <v>544</v>
      </c>
      <c r="E137" s="113" t="s">
        <v>472</v>
      </c>
      <c r="F137" s="113">
        <v>19</v>
      </c>
      <c r="G137" s="265">
        <v>0.1</v>
      </c>
      <c r="H137" s="114">
        <v>6000</v>
      </c>
      <c r="I137" s="129">
        <f t="shared" si="34"/>
        <v>114000</v>
      </c>
      <c r="J137" s="343">
        <f>+K137-'Jerarq. Riesgos Plazo'!$K$77*'Aplicación proyecto BD'!K137</f>
        <v>0.09</v>
      </c>
      <c r="K137" s="4">
        <v>0.1</v>
      </c>
      <c r="L137" s="202">
        <f>+K137*('Jerarq. Riesgos Plazo'!$L$77+1)</f>
        <v>0.15830675463795107</v>
      </c>
      <c r="M137" s="64">
        <f>+N137*(-'Jerarq. Riesgos Costos'!$J$76+1)</f>
        <v>102600</v>
      </c>
      <c r="N137" s="203">
        <f t="shared" si="35"/>
        <v>114000</v>
      </c>
      <c r="O137" s="49">
        <f>+N137*('Jerarq. Riesgos Costos'!$K$76+1)</f>
        <v>142356.43340673225</v>
      </c>
      <c r="P137" s="64">
        <f>+Q137-Q137*'Jerarq. Riesgos Plazo'!$Q$77</f>
        <v>0.09</v>
      </c>
      <c r="Q137" s="4">
        <f t="shared" si="26"/>
        <v>0.1</v>
      </c>
      <c r="R137" s="264">
        <f>+Q137+Q137*'Jerarq. Riesgos Plazo'!$R$77</f>
        <v>0.14035855761686716</v>
      </c>
      <c r="S137" s="38">
        <f>+T137*(-'Jerarq. Riesgos Costos'!$P$76+1)</f>
        <v>102600</v>
      </c>
      <c r="T137" s="203">
        <f t="shared" si="30"/>
        <v>114000</v>
      </c>
      <c r="U137" s="34">
        <f>+T137*('Jerarq. Riesgos Costos'!$Q$76+1)</f>
        <v>144205.73362692897</v>
      </c>
      <c r="V137" s="29"/>
      <c r="W137" s="4">
        <v>0.1</v>
      </c>
      <c r="X137" s="256">
        <f>+W137*('Jerarq. Riesgos Plazo'!$M$65/100+1)</f>
        <v>0.10011953689982207</v>
      </c>
      <c r="Y137" s="29"/>
      <c r="Z137" s="4"/>
      <c r="AA137" s="30"/>
      <c r="AB137" s="29"/>
      <c r="AC137" s="4">
        <v>0.1</v>
      </c>
      <c r="AD137" s="256">
        <f>+AC137*('Jerarq. Riesgos Plazo'!$M$65/100+1)</f>
        <v>0.10011953689982207</v>
      </c>
      <c r="AE137" s="29"/>
      <c r="AF137" s="4"/>
      <c r="AG137" s="30"/>
    </row>
    <row r="138" spans="2:33" ht="18" x14ac:dyDescent="0.25">
      <c r="B138" s="110" t="s">
        <v>518</v>
      </c>
      <c r="C138" s="115" t="s">
        <v>777</v>
      </c>
      <c r="D138" s="112" t="s">
        <v>545</v>
      </c>
      <c r="E138" s="113" t="s">
        <v>472</v>
      </c>
      <c r="F138" s="113">
        <v>115</v>
      </c>
      <c r="G138" s="265">
        <v>1</v>
      </c>
      <c r="H138" s="114">
        <v>24000</v>
      </c>
      <c r="I138" s="129">
        <f t="shared" si="34"/>
        <v>2760000</v>
      </c>
      <c r="J138" s="343">
        <f>+K138-'Jerarq. Riesgos Plazo'!$K$77*'Aplicación proyecto BD'!K138</f>
        <v>0.9</v>
      </c>
      <c r="K138" s="4">
        <v>1</v>
      </c>
      <c r="L138" s="202">
        <f>+K138*('Jerarq. Riesgos Plazo'!$L$77+1)</f>
        <v>1.5830675463795105</v>
      </c>
      <c r="M138" s="64">
        <f>+N138*(-'Jerarq. Riesgos Costos'!$J$76+1)</f>
        <v>2484000</v>
      </c>
      <c r="N138" s="203">
        <f t="shared" si="35"/>
        <v>2760000</v>
      </c>
      <c r="O138" s="49">
        <f>+N138*('Jerarq. Riesgos Costos'!$K$76+1)</f>
        <v>3446524.1772156227</v>
      </c>
      <c r="P138" s="64">
        <f>+Q138-Q138*'Jerarq. Riesgos Plazo'!$Q$77</f>
        <v>0.9</v>
      </c>
      <c r="Q138" s="4">
        <f t="shared" si="26"/>
        <v>1</v>
      </c>
      <c r="R138" s="264">
        <f>+Q138+Q138*'Jerarq. Riesgos Plazo'!$R$77</f>
        <v>1.4035855761686715</v>
      </c>
      <c r="S138" s="38">
        <f>+T138*(-'Jerarq. Riesgos Costos'!$P$76+1)</f>
        <v>2484000</v>
      </c>
      <c r="T138" s="203">
        <f t="shared" si="30"/>
        <v>2760000</v>
      </c>
      <c r="U138" s="34">
        <f>+T138*('Jerarq. Riesgos Costos'!$Q$76+1)</f>
        <v>3491296.708862491</v>
      </c>
      <c r="V138" s="29"/>
      <c r="W138" s="4">
        <v>1</v>
      </c>
      <c r="X138" s="256">
        <f>+W138*('Jerarq. Riesgos Plazo'!$M$65/100+1)</f>
        <v>1.0011953689982207</v>
      </c>
      <c r="Y138" s="29"/>
      <c r="Z138" s="4"/>
      <c r="AA138" s="30"/>
      <c r="AB138" s="29"/>
      <c r="AC138" s="4">
        <v>1</v>
      </c>
      <c r="AD138" s="256">
        <f>+AC138*('Jerarq. Riesgos Plazo'!$M$65/100+1)</f>
        <v>1.0011953689982207</v>
      </c>
      <c r="AE138" s="29"/>
      <c r="AF138" s="4"/>
      <c r="AG138" s="30"/>
    </row>
    <row r="139" spans="2:33" ht="18" x14ac:dyDescent="0.25">
      <c r="B139" s="110" t="s">
        <v>518</v>
      </c>
      <c r="C139" s="115" t="s">
        <v>778</v>
      </c>
      <c r="D139" s="112" t="s">
        <v>546</v>
      </c>
      <c r="E139" s="113" t="s">
        <v>453</v>
      </c>
      <c r="F139" s="113">
        <v>10</v>
      </c>
      <c r="G139" s="265">
        <v>0.1</v>
      </c>
      <c r="H139" s="114">
        <v>30000</v>
      </c>
      <c r="I139" s="129">
        <f t="shared" si="34"/>
        <v>300000</v>
      </c>
      <c r="J139" s="343">
        <f>+K139-'Jerarq. Riesgos Plazo'!$K$77*'Aplicación proyecto BD'!K139</f>
        <v>0.09</v>
      </c>
      <c r="K139" s="4">
        <v>0.1</v>
      </c>
      <c r="L139" s="202">
        <f>+K139*('Jerarq. Riesgos Plazo'!$L$77+1)</f>
        <v>0.15830675463795107</v>
      </c>
      <c r="M139" s="64">
        <f>+N139*(-'Jerarq. Riesgos Costos'!$J$76+1)</f>
        <v>270000</v>
      </c>
      <c r="N139" s="203">
        <f t="shared" si="35"/>
        <v>300000</v>
      </c>
      <c r="O139" s="49">
        <f>+N139*('Jerarq. Riesgos Costos'!$K$76+1)</f>
        <v>374622.19317561114</v>
      </c>
      <c r="P139" s="64">
        <f>+Q139-Q139*'Jerarq. Riesgos Plazo'!$Q$77</f>
        <v>0.09</v>
      </c>
      <c r="Q139" s="4">
        <f t="shared" si="26"/>
        <v>0.1</v>
      </c>
      <c r="R139" s="264">
        <f>+Q139+Q139*'Jerarq. Riesgos Plazo'!$R$77</f>
        <v>0.14035855761686716</v>
      </c>
      <c r="S139" s="38">
        <f>+T139*(-'Jerarq. Riesgos Costos'!$P$76+1)</f>
        <v>270000</v>
      </c>
      <c r="T139" s="203">
        <f t="shared" si="30"/>
        <v>300000</v>
      </c>
      <c r="U139" s="34">
        <f>+T139*('Jerarq. Riesgos Costos'!$Q$76+1)</f>
        <v>379488.77270244464</v>
      </c>
      <c r="V139" s="29"/>
      <c r="W139" s="4">
        <v>0.1</v>
      </c>
      <c r="X139" s="256">
        <f>+W139*('Jerarq. Riesgos Plazo'!$M$65/100+1)</f>
        <v>0.10011953689982207</v>
      </c>
      <c r="Y139" s="29"/>
      <c r="Z139" s="4"/>
      <c r="AA139" s="30"/>
      <c r="AB139" s="29"/>
      <c r="AC139" s="4">
        <v>0.1</v>
      </c>
      <c r="AD139" s="256">
        <f>+AC139*('Jerarq. Riesgos Plazo'!$M$65/100+1)</f>
        <v>0.10011953689982207</v>
      </c>
      <c r="AE139" s="29"/>
      <c r="AF139" s="4"/>
      <c r="AG139" s="30"/>
    </row>
    <row r="140" spans="2:33" ht="18" x14ac:dyDescent="0.25">
      <c r="B140" s="110" t="s">
        <v>518</v>
      </c>
      <c r="C140" s="115" t="s">
        <v>779</v>
      </c>
      <c r="D140" s="112" t="s">
        <v>547</v>
      </c>
      <c r="E140" s="113" t="s">
        <v>453</v>
      </c>
      <c r="F140" s="113">
        <v>1</v>
      </c>
      <c r="G140" s="265">
        <v>0.1</v>
      </c>
      <c r="H140" s="114">
        <v>60000</v>
      </c>
      <c r="I140" s="129">
        <f t="shared" si="34"/>
        <v>60000</v>
      </c>
      <c r="J140" s="343">
        <f>+K140-'Jerarq. Riesgos Plazo'!$K$77*'Aplicación proyecto BD'!K140</f>
        <v>0.09</v>
      </c>
      <c r="K140" s="4">
        <v>0.1</v>
      </c>
      <c r="L140" s="202">
        <f>+K140*('Jerarq. Riesgos Plazo'!$L$77+1)</f>
        <v>0.15830675463795107</v>
      </c>
      <c r="M140" s="64">
        <f>+N140*(-'Jerarq. Riesgos Costos'!$J$76+1)</f>
        <v>54000</v>
      </c>
      <c r="N140" s="203">
        <f t="shared" si="35"/>
        <v>60000</v>
      </c>
      <c r="O140" s="49">
        <f>+N140*('Jerarq. Riesgos Costos'!$K$76+1)</f>
        <v>74924.438635122235</v>
      </c>
      <c r="P140" s="64">
        <f>+Q140-Q140*'Jerarq. Riesgos Plazo'!$Q$77</f>
        <v>0.09</v>
      </c>
      <c r="Q140" s="4">
        <f t="shared" si="26"/>
        <v>0.1</v>
      </c>
      <c r="R140" s="264">
        <f>+Q140+Q140*'Jerarq. Riesgos Plazo'!$R$77</f>
        <v>0.14035855761686716</v>
      </c>
      <c r="S140" s="38">
        <f>+T140*(-'Jerarq. Riesgos Costos'!$P$76+1)</f>
        <v>54000</v>
      </c>
      <c r="T140" s="203">
        <f t="shared" si="30"/>
        <v>60000</v>
      </c>
      <c r="U140" s="34">
        <f>+T140*('Jerarq. Riesgos Costos'!$Q$76+1)</f>
        <v>75897.754540488924</v>
      </c>
      <c r="V140" s="29"/>
      <c r="W140" s="4">
        <v>0.1</v>
      </c>
      <c r="X140" s="256">
        <f>+W140*('Jerarq. Riesgos Plazo'!$M$65/100+1)</f>
        <v>0.10011953689982207</v>
      </c>
      <c r="Y140" s="29"/>
      <c r="Z140" s="4"/>
      <c r="AA140" s="30"/>
      <c r="AB140" s="29"/>
      <c r="AC140" s="4">
        <v>0.1</v>
      </c>
      <c r="AD140" s="256">
        <f>+AC140*('Jerarq. Riesgos Plazo'!$M$65/100+1)</f>
        <v>0.10011953689982207</v>
      </c>
      <c r="AE140" s="29"/>
      <c r="AF140" s="4"/>
      <c r="AG140" s="30"/>
    </row>
    <row r="141" spans="2:33" ht="18" x14ac:dyDescent="0.25">
      <c r="B141" s="110" t="s">
        <v>518</v>
      </c>
      <c r="C141" s="115" t="s">
        <v>780</v>
      </c>
      <c r="D141" s="112" t="s">
        <v>548</v>
      </c>
      <c r="E141" s="113" t="s">
        <v>453</v>
      </c>
      <c r="F141" s="113">
        <v>2</v>
      </c>
      <c r="G141" s="265">
        <v>0.1</v>
      </c>
      <c r="H141" s="114">
        <v>60000</v>
      </c>
      <c r="I141" s="129">
        <f t="shared" si="34"/>
        <v>120000</v>
      </c>
      <c r="J141" s="343">
        <f>+K141-'Jerarq. Riesgos Plazo'!$K$77*'Aplicación proyecto BD'!K141</f>
        <v>0.09</v>
      </c>
      <c r="K141" s="4">
        <v>0.1</v>
      </c>
      <c r="L141" s="202">
        <f>+K141*('Jerarq. Riesgos Plazo'!$L$77+1)</f>
        <v>0.15830675463795107</v>
      </c>
      <c r="M141" s="64">
        <f>+N141*(-'Jerarq. Riesgos Costos'!$J$76+1)</f>
        <v>108000</v>
      </c>
      <c r="N141" s="203">
        <f t="shared" si="35"/>
        <v>120000</v>
      </c>
      <c r="O141" s="49">
        <f>+N141*('Jerarq. Riesgos Costos'!$K$76+1)</f>
        <v>149848.87727024447</v>
      </c>
      <c r="P141" s="64">
        <f>+Q141-Q141*'Jerarq. Riesgos Plazo'!$Q$77</f>
        <v>0.09</v>
      </c>
      <c r="Q141" s="4">
        <f t="shared" si="26"/>
        <v>0.1</v>
      </c>
      <c r="R141" s="264">
        <f>+Q141+Q141*'Jerarq. Riesgos Plazo'!$R$77</f>
        <v>0.14035855761686716</v>
      </c>
      <c r="S141" s="38">
        <f>+T141*(-'Jerarq. Riesgos Costos'!$P$76+1)</f>
        <v>108000</v>
      </c>
      <c r="T141" s="203">
        <f t="shared" si="30"/>
        <v>120000</v>
      </c>
      <c r="U141" s="34">
        <f>+T141*('Jerarq. Riesgos Costos'!$Q$76+1)</f>
        <v>151795.50908097785</v>
      </c>
      <c r="V141" s="29"/>
      <c r="W141" s="4">
        <v>0.1</v>
      </c>
      <c r="X141" s="256">
        <f>+W141*('Jerarq. Riesgos Plazo'!$M$65/100+1)</f>
        <v>0.10011953689982207</v>
      </c>
      <c r="Y141" s="29"/>
      <c r="Z141" s="4"/>
      <c r="AA141" s="30"/>
      <c r="AB141" s="29"/>
      <c r="AC141" s="4">
        <v>0.1</v>
      </c>
      <c r="AD141" s="256">
        <f>+AC141*('Jerarq. Riesgos Plazo'!$M$65/100+1)</f>
        <v>0.10011953689982207</v>
      </c>
      <c r="AE141" s="29"/>
      <c r="AF141" s="4"/>
      <c r="AG141" s="30"/>
    </row>
    <row r="142" spans="2:33" ht="18" x14ac:dyDescent="0.25">
      <c r="B142" s="110" t="s">
        <v>518</v>
      </c>
      <c r="C142" s="115" t="s">
        <v>781</v>
      </c>
      <c r="D142" s="112" t="s">
        <v>549</v>
      </c>
      <c r="E142" s="113" t="s">
        <v>453</v>
      </c>
      <c r="F142" s="113">
        <v>2</v>
      </c>
      <c r="G142" s="265">
        <v>0.2</v>
      </c>
      <c r="H142" s="114">
        <v>60000</v>
      </c>
      <c r="I142" s="129">
        <f t="shared" si="34"/>
        <v>120000</v>
      </c>
      <c r="J142" s="343">
        <f>+K142-'Jerarq. Riesgos Plazo'!$K$77*'Aplicación proyecto BD'!K142</f>
        <v>0.18</v>
      </c>
      <c r="K142" s="4">
        <v>0.2</v>
      </c>
      <c r="L142" s="202">
        <f>+K142*('Jerarq. Riesgos Plazo'!$L$77+1)</f>
        <v>0.31661350927590215</v>
      </c>
      <c r="M142" s="64">
        <f>+N142*(-'Jerarq. Riesgos Costos'!$J$76+1)</f>
        <v>108000</v>
      </c>
      <c r="N142" s="203">
        <f t="shared" si="35"/>
        <v>120000</v>
      </c>
      <c r="O142" s="49">
        <f>+N142*('Jerarq. Riesgos Costos'!$K$76+1)</f>
        <v>149848.87727024447</v>
      </c>
      <c r="P142" s="64">
        <f>+Q142-Q142*'Jerarq. Riesgos Plazo'!$Q$77</f>
        <v>0.18</v>
      </c>
      <c r="Q142" s="4">
        <f t="shared" si="26"/>
        <v>0.2</v>
      </c>
      <c r="R142" s="264">
        <f>+Q142+Q142*'Jerarq. Riesgos Plazo'!$R$77</f>
        <v>0.28071711523373433</v>
      </c>
      <c r="S142" s="38">
        <f>+T142*(-'Jerarq. Riesgos Costos'!$P$76+1)</f>
        <v>108000</v>
      </c>
      <c r="T142" s="203">
        <f t="shared" si="30"/>
        <v>120000</v>
      </c>
      <c r="U142" s="34">
        <f>+T142*('Jerarq. Riesgos Costos'!$Q$76+1)</f>
        <v>151795.50908097785</v>
      </c>
      <c r="V142" s="29"/>
      <c r="W142" s="4">
        <v>0.2</v>
      </c>
      <c r="X142" s="256">
        <f>+W142*('Jerarq. Riesgos Plazo'!$M$65/100+1)</f>
        <v>0.20023907379964415</v>
      </c>
      <c r="Y142" s="29"/>
      <c r="Z142" s="4"/>
      <c r="AA142" s="30"/>
      <c r="AB142" s="29"/>
      <c r="AC142" s="4">
        <v>0.2</v>
      </c>
      <c r="AD142" s="256">
        <f>+AC142*('Jerarq. Riesgos Plazo'!$M$65/100+1)</f>
        <v>0.20023907379964415</v>
      </c>
      <c r="AE142" s="29"/>
      <c r="AF142" s="4"/>
      <c r="AG142" s="30"/>
    </row>
    <row r="143" spans="2:33" ht="18" x14ac:dyDescent="0.25">
      <c r="B143" s="110" t="s">
        <v>518</v>
      </c>
      <c r="C143" s="115" t="s">
        <v>782</v>
      </c>
      <c r="D143" s="112" t="s">
        <v>550</v>
      </c>
      <c r="E143" s="113" t="s">
        <v>453</v>
      </c>
      <c r="F143" s="113">
        <v>1</v>
      </c>
      <c r="G143" s="265">
        <v>0.1</v>
      </c>
      <c r="H143" s="114">
        <v>30000</v>
      </c>
      <c r="I143" s="129">
        <f t="shared" si="34"/>
        <v>30000</v>
      </c>
      <c r="J143" s="343">
        <f>+K143-'Jerarq. Riesgos Plazo'!$K$77*'Aplicación proyecto BD'!K143</f>
        <v>0.09</v>
      </c>
      <c r="K143" s="4">
        <v>0.1</v>
      </c>
      <c r="L143" s="202">
        <f>+K143*('Jerarq. Riesgos Plazo'!$L$77+1)</f>
        <v>0.15830675463795107</v>
      </c>
      <c r="M143" s="64">
        <f>+N143*(-'Jerarq. Riesgos Costos'!$J$76+1)</f>
        <v>27000</v>
      </c>
      <c r="N143" s="203">
        <f t="shared" si="35"/>
        <v>30000</v>
      </c>
      <c r="O143" s="49">
        <f>+N143*('Jerarq. Riesgos Costos'!$K$76+1)</f>
        <v>37462.219317561117</v>
      </c>
      <c r="P143" s="64">
        <f>+Q143-Q143*'Jerarq. Riesgos Plazo'!$Q$77</f>
        <v>0.09</v>
      </c>
      <c r="Q143" s="4">
        <f t="shared" si="26"/>
        <v>0.1</v>
      </c>
      <c r="R143" s="264">
        <f>+Q143+Q143*'Jerarq. Riesgos Plazo'!$R$77</f>
        <v>0.14035855761686716</v>
      </c>
      <c r="S143" s="38">
        <f>+T143*(-'Jerarq. Riesgos Costos'!$P$76+1)</f>
        <v>27000</v>
      </c>
      <c r="T143" s="203">
        <f t="shared" si="30"/>
        <v>30000</v>
      </c>
      <c r="U143" s="34">
        <f>+T143*('Jerarq. Riesgos Costos'!$Q$76+1)</f>
        <v>37948.877270244462</v>
      </c>
      <c r="V143" s="29"/>
      <c r="W143" s="4">
        <v>0.1</v>
      </c>
      <c r="X143" s="256">
        <f>+W143*('Jerarq. Riesgos Plazo'!$M$65/100+1)</f>
        <v>0.10011953689982207</v>
      </c>
      <c r="Y143" s="29"/>
      <c r="Z143" s="4"/>
      <c r="AA143" s="30"/>
      <c r="AB143" s="29"/>
      <c r="AC143" s="4">
        <v>0.1</v>
      </c>
      <c r="AD143" s="256">
        <f>+AC143*('Jerarq. Riesgos Plazo'!$M$65/100+1)</f>
        <v>0.10011953689982207</v>
      </c>
      <c r="AE143" s="29"/>
      <c r="AF143" s="4"/>
      <c r="AG143" s="30"/>
    </row>
    <row r="144" spans="2:33" ht="18" x14ac:dyDescent="0.25">
      <c r="B144" s="110" t="s">
        <v>518</v>
      </c>
      <c r="C144" s="115" t="s">
        <v>783</v>
      </c>
      <c r="D144" s="112" t="s">
        <v>551</v>
      </c>
      <c r="E144" s="113" t="s">
        <v>453</v>
      </c>
      <c r="F144" s="113">
        <v>1</v>
      </c>
      <c r="G144" s="265">
        <v>0.1</v>
      </c>
      <c r="H144" s="114">
        <v>60000</v>
      </c>
      <c r="I144" s="129">
        <f t="shared" si="34"/>
        <v>60000</v>
      </c>
      <c r="J144" s="343">
        <f>+K144-'Jerarq. Riesgos Plazo'!$K$77*'Aplicación proyecto BD'!K144</f>
        <v>0.09</v>
      </c>
      <c r="K144" s="4">
        <v>0.1</v>
      </c>
      <c r="L144" s="202">
        <f>+K144*('Jerarq. Riesgos Plazo'!$L$77+1)</f>
        <v>0.15830675463795107</v>
      </c>
      <c r="M144" s="64">
        <f>+N144*(-'Jerarq. Riesgos Costos'!$J$76+1)</f>
        <v>54000</v>
      </c>
      <c r="N144" s="203">
        <f t="shared" si="35"/>
        <v>60000</v>
      </c>
      <c r="O144" s="49">
        <f>+N144*('Jerarq. Riesgos Costos'!$K$76+1)</f>
        <v>74924.438635122235</v>
      </c>
      <c r="P144" s="64">
        <f>+Q144-Q144*'Jerarq. Riesgos Plazo'!$Q$77</f>
        <v>0.09</v>
      </c>
      <c r="Q144" s="4">
        <f t="shared" si="26"/>
        <v>0.1</v>
      </c>
      <c r="R144" s="264">
        <f>+Q144+Q144*'Jerarq. Riesgos Plazo'!$R$77</f>
        <v>0.14035855761686716</v>
      </c>
      <c r="S144" s="38">
        <f>+T144*(-'Jerarq. Riesgos Costos'!$P$76+1)</f>
        <v>54000</v>
      </c>
      <c r="T144" s="203">
        <f t="shared" si="30"/>
        <v>60000</v>
      </c>
      <c r="U144" s="34">
        <f>+T144*('Jerarq. Riesgos Costos'!$Q$76+1)</f>
        <v>75897.754540488924</v>
      </c>
      <c r="V144" s="29"/>
      <c r="W144" s="4">
        <v>0.1</v>
      </c>
      <c r="X144" s="256">
        <f>+W144*('Jerarq. Riesgos Plazo'!$M$65/100+1)</f>
        <v>0.10011953689982207</v>
      </c>
      <c r="Y144" s="29"/>
      <c r="Z144" s="4"/>
      <c r="AA144" s="30"/>
      <c r="AB144" s="29"/>
      <c r="AC144" s="4">
        <v>0.1</v>
      </c>
      <c r="AD144" s="256">
        <f>+AC144*('Jerarq. Riesgos Plazo'!$M$65/100+1)</f>
        <v>0.10011953689982207</v>
      </c>
      <c r="AE144" s="29"/>
      <c r="AF144" s="4"/>
      <c r="AG144" s="30"/>
    </row>
    <row r="145" spans="2:33" ht="18" x14ac:dyDescent="0.25">
      <c r="B145" s="110" t="s">
        <v>518</v>
      </c>
      <c r="C145" s="115" t="s">
        <v>784</v>
      </c>
      <c r="D145" s="112" t="s">
        <v>666</v>
      </c>
      <c r="E145" s="113" t="s">
        <v>472</v>
      </c>
      <c r="F145" s="113">
        <v>15</v>
      </c>
      <c r="G145" s="265">
        <v>0.1</v>
      </c>
      <c r="H145" s="114">
        <v>25000</v>
      </c>
      <c r="I145" s="129">
        <f t="shared" si="34"/>
        <v>375000</v>
      </c>
      <c r="J145" s="343">
        <f>+K145-'Jerarq. Riesgos Plazo'!$K$77*'Aplicación proyecto BD'!K145</f>
        <v>0.09</v>
      </c>
      <c r="K145" s="4">
        <v>0.1</v>
      </c>
      <c r="L145" s="202">
        <f>+K145*('Jerarq. Riesgos Plazo'!$L$77+1)</f>
        <v>0.15830675463795107</v>
      </c>
      <c r="M145" s="64">
        <f>+N145*(-'Jerarq. Riesgos Costos'!$J$76+1)</f>
        <v>337500</v>
      </c>
      <c r="N145" s="203">
        <f t="shared" si="35"/>
        <v>375000</v>
      </c>
      <c r="O145" s="49">
        <f>+N145*('Jerarq. Riesgos Costos'!$K$76+1)</f>
        <v>468277.74146951397</v>
      </c>
      <c r="P145" s="64">
        <f>+Q145-Q145*'Jerarq. Riesgos Plazo'!$Q$77</f>
        <v>0.09</v>
      </c>
      <c r="Q145" s="4">
        <f t="shared" si="26"/>
        <v>0.1</v>
      </c>
      <c r="R145" s="264">
        <f>+Q145+Q145*'Jerarq. Riesgos Plazo'!$R$77</f>
        <v>0.14035855761686716</v>
      </c>
      <c r="S145" s="38">
        <f>+T145*(-'Jerarq. Riesgos Costos'!$P$76+1)</f>
        <v>337500</v>
      </c>
      <c r="T145" s="203">
        <f t="shared" si="30"/>
        <v>375000</v>
      </c>
      <c r="U145" s="34">
        <f>+T145*('Jerarq. Riesgos Costos'!$Q$76+1)</f>
        <v>474360.96587805584</v>
      </c>
      <c r="V145" s="29"/>
      <c r="W145" s="4"/>
      <c r="X145" s="256"/>
      <c r="Y145" s="29"/>
      <c r="Z145" s="4"/>
      <c r="AA145" s="30"/>
      <c r="AB145" s="29"/>
      <c r="AC145" s="4"/>
      <c r="AD145" s="256"/>
      <c r="AE145" s="29"/>
      <c r="AF145" s="4"/>
      <c r="AG145" s="30"/>
    </row>
    <row r="146" spans="2:33" ht="18" x14ac:dyDescent="0.25">
      <c r="B146" s="110" t="s">
        <v>518</v>
      </c>
      <c r="C146" s="115" t="s">
        <v>785</v>
      </c>
      <c r="D146" s="112" t="s">
        <v>667</v>
      </c>
      <c r="E146" s="113" t="s">
        <v>472</v>
      </c>
      <c r="F146" s="113">
        <v>280</v>
      </c>
      <c r="G146" s="265">
        <v>2</v>
      </c>
      <c r="H146" s="114">
        <v>16000</v>
      </c>
      <c r="I146" s="129">
        <f t="shared" si="34"/>
        <v>4480000</v>
      </c>
      <c r="J146" s="343">
        <f>+K146-'Jerarq. Riesgos Plazo'!$K$77*'Aplicación proyecto BD'!K146</f>
        <v>1.8</v>
      </c>
      <c r="K146" s="4">
        <v>2</v>
      </c>
      <c r="L146" s="202">
        <f>+K146*('Jerarq. Riesgos Plazo'!$L$77+1)</f>
        <v>3.1661350927590211</v>
      </c>
      <c r="M146" s="64">
        <f>+N146*(-'Jerarq. Riesgos Costos'!$J$76+1)</f>
        <v>4032000</v>
      </c>
      <c r="N146" s="203">
        <f t="shared" si="35"/>
        <v>4480000</v>
      </c>
      <c r="O146" s="49">
        <f>+N146*('Jerarq. Riesgos Costos'!$K$76+1)</f>
        <v>5594358.0847557932</v>
      </c>
      <c r="P146" s="64">
        <f>+Q146-Q146*'Jerarq. Riesgos Plazo'!$Q$77</f>
        <v>1.8</v>
      </c>
      <c r="Q146" s="4">
        <f t="shared" si="26"/>
        <v>2</v>
      </c>
      <c r="R146" s="264">
        <f>+Q146+Q146*'Jerarq. Riesgos Plazo'!$R$77</f>
        <v>2.807171152337343</v>
      </c>
      <c r="S146" s="38">
        <f>+T146*(-'Jerarq. Riesgos Costos'!$P$76+1)</f>
        <v>4032000</v>
      </c>
      <c r="T146" s="203">
        <f t="shared" si="30"/>
        <v>4480000</v>
      </c>
      <c r="U146" s="34">
        <f>+T146*('Jerarq. Riesgos Costos'!$Q$76+1)</f>
        <v>5667032.3390231738</v>
      </c>
      <c r="V146" s="29"/>
      <c r="W146" s="4"/>
      <c r="X146" s="256"/>
      <c r="Y146" s="29"/>
      <c r="Z146" s="4"/>
      <c r="AA146" s="30"/>
      <c r="AB146" s="29"/>
      <c r="AC146" s="4"/>
      <c r="AD146" s="256"/>
      <c r="AE146" s="29"/>
      <c r="AF146" s="4"/>
      <c r="AG146" s="30"/>
    </row>
    <row r="147" spans="2:33" ht="18" x14ac:dyDescent="0.25">
      <c r="B147" s="251" t="s">
        <v>552</v>
      </c>
      <c r="C147" s="251" t="s">
        <v>466</v>
      </c>
      <c r="D147" s="252" t="s">
        <v>553</v>
      </c>
      <c r="E147" s="253"/>
      <c r="F147" s="254"/>
      <c r="G147" s="261">
        <f>+SUM(G148)</f>
        <v>3</v>
      </c>
      <c r="H147" s="255"/>
      <c r="I147" s="256">
        <f t="shared" ref="I147:O147" si="36">+SUM(I148)</f>
        <v>26600000</v>
      </c>
      <c r="J147" s="261">
        <f t="shared" si="36"/>
        <v>2.7</v>
      </c>
      <c r="K147" s="261">
        <f t="shared" si="36"/>
        <v>3</v>
      </c>
      <c r="L147" s="256">
        <f t="shared" si="36"/>
        <v>4.7492026391385318</v>
      </c>
      <c r="M147" s="260">
        <f t="shared" si="36"/>
        <v>23940000</v>
      </c>
      <c r="N147" s="261">
        <f t="shared" si="36"/>
        <v>26600000</v>
      </c>
      <c r="O147" s="262">
        <f t="shared" si="36"/>
        <v>33216501.128237523</v>
      </c>
      <c r="P147" s="260">
        <f t="shared" ref="P147:U147" si="37">+SUM(P148)</f>
        <v>2.7</v>
      </c>
      <c r="Q147" s="261">
        <f t="shared" si="37"/>
        <v>3</v>
      </c>
      <c r="R147" s="262">
        <f t="shared" si="37"/>
        <v>4.2107567285060146</v>
      </c>
      <c r="S147" s="368">
        <f t="shared" si="37"/>
        <v>23940000</v>
      </c>
      <c r="T147" s="261">
        <f t="shared" si="37"/>
        <v>26600000</v>
      </c>
      <c r="U147" s="262">
        <f t="shared" si="37"/>
        <v>33648004.512950093</v>
      </c>
      <c r="V147" s="260">
        <v>2</v>
      </c>
      <c r="W147" s="261">
        <f>+SUM(W148)</f>
        <v>0</v>
      </c>
      <c r="X147" s="256">
        <f>+W147*('Jerarq. Riesgos Plazo'!$M$65/100+1)</f>
        <v>0</v>
      </c>
      <c r="Y147" s="260"/>
      <c r="Z147" s="261"/>
      <c r="AA147" s="262"/>
      <c r="AB147" s="260">
        <v>2</v>
      </c>
      <c r="AC147" s="261">
        <f>+SUM(AC148)</f>
        <v>0</v>
      </c>
      <c r="AD147" s="256">
        <f>+AC147*('Jerarq. Riesgos Plazo'!$M$65/100+1)</f>
        <v>0</v>
      </c>
      <c r="AE147" s="260"/>
      <c r="AF147" s="261"/>
      <c r="AG147" s="262"/>
    </row>
    <row r="148" spans="2:33" ht="18.75" thickBot="1" x14ac:dyDescent="0.3">
      <c r="B148" s="110" t="s">
        <v>552</v>
      </c>
      <c r="C148" s="111" t="s">
        <v>786</v>
      </c>
      <c r="D148" s="112" t="s">
        <v>554</v>
      </c>
      <c r="E148" s="113" t="s">
        <v>555</v>
      </c>
      <c r="F148" s="116">
        <v>760</v>
      </c>
      <c r="G148" s="131">
        <v>3</v>
      </c>
      <c r="H148" s="114">
        <v>35000</v>
      </c>
      <c r="I148" s="129">
        <f t="shared" si="34"/>
        <v>26600000</v>
      </c>
      <c r="J148" s="343">
        <f>+K148-'Jerarq. Riesgos Plazo'!$K$77*'Aplicación proyecto BD'!K148</f>
        <v>2.7</v>
      </c>
      <c r="K148" s="131">
        <v>3</v>
      </c>
      <c r="L148" s="202">
        <f>+K148*('Jerarq. Riesgos Plazo'!$L$77+1)</f>
        <v>4.7492026391385318</v>
      </c>
      <c r="M148" s="65">
        <f>+N148*(-'Jerarq. Riesgos Costos'!$J$77+1)</f>
        <v>23940000</v>
      </c>
      <c r="N148" s="291">
        <f>+I148</f>
        <v>26600000</v>
      </c>
      <c r="O148" s="53">
        <f>+N148*('Jerarq. Riesgos Costos'!$K$77+1)</f>
        <v>33216501.128237523</v>
      </c>
      <c r="P148" s="65">
        <f>+Q148-Q148*'Jerarq. Riesgos Plazo'!$Q$77</f>
        <v>2.7</v>
      </c>
      <c r="Q148" s="291">
        <f t="shared" si="26"/>
        <v>3</v>
      </c>
      <c r="R148" s="369">
        <f>+Q148+Q148*'Jerarq. Riesgos Plazo'!$R$77</f>
        <v>4.2107567285060146</v>
      </c>
      <c r="S148" s="38">
        <f>+T148*(-'Jerarq. Riesgos Costos'!$P$78+1)</f>
        <v>23940000</v>
      </c>
      <c r="T148" s="203">
        <f t="shared" si="30"/>
        <v>26600000</v>
      </c>
      <c r="U148" s="34">
        <f>+T148*('Jerarq. Riesgos Costos'!$Q$78+1)</f>
        <v>33648004.512950093</v>
      </c>
    </row>
    <row r="149" spans="2:33" ht="21" thickBot="1" x14ac:dyDescent="0.35">
      <c r="B149" s="117"/>
      <c r="C149" s="118"/>
      <c r="D149" s="119" t="s">
        <v>556</v>
      </c>
      <c r="E149" s="120"/>
      <c r="F149" s="121"/>
      <c r="G149" s="122"/>
      <c r="H149" s="122"/>
      <c r="I149" s="123">
        <f>SUM(I26:I148)</f>
        <v>977039589.8799808</v>
      </c>
    </row>
    <row r="150" spans="2:33" ht="21" thickBot="1" x14ac:dyDescent="0.35">
      <c r="B150" s="117"/>
      <c r="C150" s="118"/>
      <c r="D150" s="124" t="s">
        <v>557</v>
      </c>
      <c r="E150" s="125"/>
      <c r="F150" s="125"/>
      <c r="G150" s="125"/>
      <c r="H150" s="125"/>
      <c r="I150" s="126">
        <f>+'[1]Estimación GG'!$H$79</f>
        <v>229050251.80111274</v>
      </c>
    </row>
    <row r="151" spans="2:33" ht="21" thickBot="1" x14ac:dyDescent="0.35">
      <c r="B151" s="117"/>
      <c r="C151" s="118"/>
      <c r="D151" s="124" t="s">
        <v>558</v>
      </c>
      <c r="E151" s="125"/>
      <c r="F151" s="125"/>
      <c r="G151" s="125"/>
      <c r="H151" s="125"/>
      <c r="I151" s="126">
        <f>+I150+I149</f>
        <v>1206089841.6810935</v>
      </c>
    </row>
    <row r="158" spans="2:33" x14ac:dyDescent="0.25">
      <c r="D158" t="s">
        <v>671</v>
      </c>
    </row>
  </sheetData>
  <mergeCells count="12">
    <mergeCell ref="AB3:AD3"/>
    <mergeCell ref="AE3:AG3"/>
    <mergeCell ref="J2:O2"/>
    <mergeCell ref="P2:U2"/>
    <mergeCell ref="V2:AA2"/>
    <mergeCell ref="AB2:AG2"/>
    <mergeCell ref="J3:L3"/>
    <mergeCell ref="M3:O3"/>
    <mergeCell ref="P3:R3"/>
    <mergeCell ref="S3:U3"/>
    <mergeCell ref="V3:X3"/>
    <mergeCell ref="Y3:AA3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K156"/>
  <sheetViews>
    <sheetView topLeftCell="C1" zoomScale="55" zoomScaleNormal="55" workbookViewId="0">
      <selection activeCell="I24" sqref="I24"/>
    </sheetView>
  </sheetViews>
  <sheetFormatPr baseColWidth="10" defaultRowHeight="15" x14ac:dyDescent="0.25"/>
  <cols>
    <col min="2" max="2" width="20" customWidth="1"/>
    <col min="3" max="3" width="9.42578125" bestFit="1" customWidth="1"/>
    <col min="4" max="4" width="84.140625" customWidth="1"/>
    <col min="5" max="5" width="0" hidden="1" customWidth="1"/>
    <col min="6" max="6" width="15.42578125" hidden="1" customWidth="1"/>
    <col min="7" max="7" width="19.42578125" customWidth="1"/>
    <col min="8" max="8" width="20.140625" hidden="1" customWidth="1"/>
    <col min="9" max="9" width="24" bestFit="1" customWidth="1"/>
    <col min="10" max="11" width="11.42578125" hidden="1" customWidth="1"/>
    <col min="12" max="12" width="13" hidden="1" customWidth="1"/>
    <col min="13" max="13" width="22.28515625" hidden="1" customWidth="1"/>
    <col min="14" max="14" width="24.42578125" hidden="1" customWidth="1"/>
    <col min="15" max="15" width="22.5703125" hidden="1" customWidth="1"/>
    <col min="16" max="18" width="11.42578125" hidden="1" customWidth="1"/>
    <col min="19" max="21" width="22" hidden="1" customWidth="1"/>
    <col min="22" max="24" width="0" hidden="1" customWidth="1"/>
    <col min="25" max="25" width="15.7109375" hidden="1" customWidth="1"/>
    <col min="26" max="26" width="16" hidden="1" customWidth="1"/>
    <col min="27" max="27" width="17.5703125" hidden="1" customWidth="1"/>
    <col min="28" max="30" width="0" hidden="1" customWidth="1"/>
    <col min="31" max="31" width="15.7109375" hidden="1" customWidth="1"/>
    <col min="32" max="32" width="16" hidden="1" customWidth="1"/>
    <col min="33" max="33" width="3.5703125" hidden="1" customWidth="1"/>
  </cols>
  <sheetData>
    <row r="1" spans="2:33" ht="15.75" thickBot="1" x14ac:dyDescent="0.3"/>
    <row r="2" spans="2:33" ht="18.75" thickBot="1" x14ac:dyDescent="0.3">
      <c r="J2" s="444" t="s">
        <v>651</v>
      </c>
      <c r="K2" s="445"/>
      <c r="L2" s="445"/>
      <c r="M2" s="445"/>
      <c r="N2" s="445"/>
      <c r="O2" s="450"/>
      <c r="P2" s="445" t="s">
        <v>652</v>
      </c>
      <c r="Q2" s="445"/>
      <c r="R2" s="445"/>
      <c r="S2" s="445"/>
      <c r="T2" s="445"/>
      <c r="U2" s="445"/>
      <c r="V2" s="444" t="s">
        <v>653</v>
      </c>
      <c r="W2" s="445"/>
      <c r="X2" s="445"/>
      <c r="Y2" s="445"/>
      <c r="Z2" s="445"/>
      <c r="AA2" s="445"/>
      <c r="AB2" s="444" t="s">
        <v>654</v>
      </c>
      <c r="AC2" s="445"/>
      <c r="AD2" s="445"/>
      <c r="AE2" s="445"/>
      <c r="AF2" s="445"/>
      <c r="AG2" s="445"/>
    </row>
    <row r="3" spans="2:33" ht="18.75" thickBot="1" x14ac:dyDescent="0.3">
      <c r="J3" s="446" t="s">
        <v>332</v>
      </c>
      <c r="K3" s="447"/>
      <c r="L3" s="448"/>
      <c r="M3" s="446" t="s">
        <v>333</v>
      </c>
      <c r="N3" s="447"/>
      <c r="O3" s="449"/>
      <c r="P3" s="446" t="s">
        <v>332</v>
      </c>
      <c r="Q3" s="447"/>
      <c r="R3" s="449"/>
      <c r="S3" s="451" t="s">
        <v>333</v>
      </c>
      <c r="T3" s="447"/>
      <c r="U3" s="449"/>
      <c r="V3" s="446" t="s">
        <v>332</v>
      </c>
      <c r="W3" s="447"/>
      <c r="X3" s="448"/>
      <c r="Y3" s="446" t="s">
        <v>333</v>
      </c>
      <c r="Z3" s="447"/>
      <c r="AA3" s="449"/>
      <c r="AB3" s="446" t="s">
        <v>332</v>
      </c>
      <c r="AC3" s="447"/>
      <c r="AD3" s="448"/>
      <c r="AE3" s="446" t="s">
        <v>333</v>
      </c>
      <c r="AF3" s="447"/>
      <c r="AG3" s="449"/>
    </row>
    <row r="4" spans="2:33" ht="28.5" customHeight="1" thickBot="1" x14ac:dyDescent="0.3">
      <c r="B4" s="317" t="s">
        <v>398</v>
      </c>
      <c r="C4" s="318" t="s">
        <v>399</v>
      </c>
      <c r="D4" s="319" t="s">
        <v>400</v>
      </c>
      <c r="E4" s="318" t="s">
        <v>401</v>
      </c>
      <c r="F4" s="320" t="s">
        <v>402</v>
      </c>
      <c r="G4" s="321" t="s">
        <v>614</v>
      </c>
      <c r="H4" s="321" t="s">
        <v>403</v>
      </c>
      <c r="I4" s="322" t="s">
        <v>369</v>
      </c>
      <c r="J4" s="136" t="s">
        <v>668</v>
      </c>
      <c r="K4" s="137" t="s">
        <v>669</v>
      </c>
      <c r="L4" s="200" t="s">
        <v>670</v>
      </c>
      <c r="M4" s="136" t="s">
        <v>559</v>
      </c>
      <c r="N4" s="137" t="s">
        <v>560</v>
      </c>
      <c r="O4" s="138" t="s">
        <v>561</v>
      </c>
      <c r="P4" s="136" t="s">
        <v>668</v>
      </c>
      <c r="Q4" s="137" t="s">
        <v>669</v>
      </c>
      <c r="R4" s="297" t="s">
        <v>670</v>
      </c>
      <c r="S4" s="292" t="s">
        <v>559</v>
      </c>
      <c r="T4" s="137" t="s">
        <v>560</v>
      </c>
      <c r="U4" s="138" t="s">
        <v>561</v>
      </c>
      <c r="V4" s="136" t="s">
        <v>668</v>
      </c>
      <c r="W4" s="137" t="s">
        <v>669</v>
      </c>
      <c r="X4" s="200" t="s">
        <v>670</v>
      </c>
      <c r="Y4" s="136" t="s">
        <v>559</v>
      </c>
      <c r="Z4" s="137" t="s">
        <v>560</v>
      </c>
      <c r="AA4" s="138" t="s">
        <v>561</v>
      </c>
      <c r="AB4" s="136" t="s">
        <v>668</v>
      </c>
      <c r="AC4" s="137" t="s">
        <v>669</v>
      </c>
      <c r="AD4" s="200" t="s">
        <v>670</v>
      </c>
      <c r="AE4" s="136" t="s">
        <v>559</v>
      </c>
      <c r="AF4" s="137" t="s">
        <v>560</v>
      </c>
      <c r="AG4" s="138" t="s">
        <v>561</v>
      </c>
    </row>
    <row r="5" spans="2:33" ht="18" x14ac:dyDescent="0.25">
      <c r="B5" s="323" t="s">
        <v>404</v>
      </c>
      <c r="C5" s="105">
        <v>1</v>
      </c>
      <c r="D5" s="106" t="s">
        <v>611</v>
      </c>
      <c r="E5" s="107"/>
      <c r="F5" s="108"/>
      <c r="G5" s="324">
        <f>SUM(G6:G9)</f>
        <v>60</v>
      </c>
      <c r="H5" s="109"/>
      <c r="I5" s="324">
        <f>SUM(I6:I9)</f>
        <v>6432000</v>
      </c>
      <c r="J5" s="133"/>
      <c r="K5" s="134"/>
      <c r="L5" s="201"/>
      <c r="M5" s="133"/>
      <c r="N5" s="134"/>
      <c r="O5" s="135"/>
      <c r="P5" s="133"/>
      <c r="Q5" s="134"/>
      <c r="R5" s="135"/>
      <c r="S5" s="293"/>
      <c r="T5" s="134"/>
      <c r="U5" s="135"/>
      <c r="V5" s="133"/>
      <c r="W5" s="134"/>
      <c r="X5" s="201"/>
      <c r="Y5" s="133"/>
      <c r="Z5" s="134"/>
      <c r="AA5" s="135"/>
      <c r="AB5" s="133"/>
      <c r="AC5" s="134"/>
      <c r="AD5" s="201"/>
      <c r="AE5" s="133"/>
      <c r="AF5" s="134"/>
      <c r="AG5" s="135"/>
    </row>
    <row r="6" spans="2:33" ht="18" x14ac:dyDescent="0.25">
      <c r="B6" s="335" t="s">
        <v>307</v>
      </c>
      <c r="C6" s="111" t="s">
        <v>407</v>
      </c>
      <c r="D6" s="112" t="s">
        <v>574</v>
      </c>
      <c r="E6" s="113" t="s">
        <v>411</v>
      </c>
      <c r="F6" s="112">
        <v>1</v>
      </c>
      <c r="G6" s="114">
        <v>10</v>
      </c>
      <c r="H6" s="114">
        <f>2*'Costo HH'!$D$8*G6</f>
        <v>1072000</v>
      </c>
      <c r="I6" s="325">
        <f>+F6*H6</f>
        <v>1072000</v>
      </c>
      <c r="J6" s="29">
        <v>8</v>
      </c>
      <c r="K6" s="203">
        <f>+G6</f>
        <v>10</v>
      </c>
      <c r="L6" s="202">
        <f>+K6*('Jerarq. Riesgos Plazo'!$M$65+1)</f>
        <v>11.195368998220751</v>
      </c>
      <c r="M6" s="64">
        <f>+N6*(-'Jerarq. Riesgos Costos'!$J$71+1)</f>
        <v>964800</v>
      </c>
      <c r="N6" s="203">
        <f>+I6</f>
        <v>1072000</v>
      </c>
      <c r="O6" s="49">
        <f>+N6*('Jerarq. Riesgos Costos'!$K$78+1)</f>
        <v>1338649.9702808505</v>
      </c>
      <c r="P6" s="29">
        <v>8</v>
      </c>
      <c r="Q6" s="203">
        <f>+K6</f>
        <v>10</v>
      </c>
      <c r="R6" s="202">
        <f>+Q6*('Jerarq. Riesgos Plazo'!$M$67+1)</f>
        <v>13.7747933487246</v>
      </c>
      <c r="S6" s="34">
        <f>+T6*(-'Jerarq. Riesgos Costos'!$P$78+1)</f>
        <v>964800</v>
      </c>
      <c r="T6" s="203">
        <f>+N6</f>
        <v>1072000</v>
      </c>
      <c r="U6" s="34">
        <f>+T6*('Jerarq. Riesgos Costos'!$K$78+1)</f>
        <v>1338649.9702808505</v>
      </c>
      <c r="V6" s="59">
        <v>8</v>
      </c>
      <c r="W6" s="203">
        <f>+S6</f>
        <v>964800</v>
      </c>
      <c r="X6" s="202">
        <f>+W6*('Jerarq. Riesgos Plazo'!$M$65/100+1)</f>
        <v>965953.29200948332</v>
      </c>
      <c r="Y6" s="203">
        <v>2000000</v>
      </c>
      <c r="Z6" s="203">
        <f>+U6</f>
        <v>1338649.9702808505</v>
      </c>
      <c r="AA6" s="49">
        <f>+Z6*('Jerarq. Riesgos Plazo'!$M$3/100+1)</f>
        <v>1339941.4581416794</v>
      </c>
      <c r="AB6" s="29">
        <v>8</v>
      </c>
      <c r="AC6" s="203">
        <f>+Y6</f>
        <v>2000000</v>
      </c>
      <c r="AD6" s="202">
        <f>+AC6*('Jerarq. Riesgos Plazo'!$M$65/100+1)</f>
        <v>2002390.7379964413</v>
      </c>
      <c r="AE6" s="203">
        <v>2000000</v>
      </c>
      <c r="AF6" s="203">
        <f>+AA6</f>
        <v>1339941.4581416794</v>
      </c>
      <c r="AG6" s="49">
        <f>+AF6*('Jerarq. Riesgos Plazo'!$M$3/100+1)</f>
        <v>1341234.1919898326</v>
      </c>
    </row>
    <row r="7" spans="2:33" ht="18" x14ac:dyDescent="0.25">
      <c r="B7" s="335" t="s">
        <v>307</v>
      </c>
      <c r="C7" s="111" t="s">
        <v>617</v>
      </c>
      <c r="D7" s="112" t="s">
        <v>615</v>
      </c>
      <c r="E7" s="113" t="s">
        <v>411</v>
      </c>
      <c r="F7" s="112">
        <v>1</v>
      </c>
      <c r="G7" s="114">
        <v>15</v>
      </c>
      <c r="H7" s="114">
        <f>2*'Costo HH'!$D$8*G7</f>
        <v>1608000</v>
      </c>
      <c r="I7" s="325">
        <f t="shared" ref="I7:I9" si="0">+F7*H7</f>
        <v>1608000</v>
      </c>
      <c r="J7" s="29">
        <v>10</v>
      </c>
      <c r="K7" s="203">
        <f t="shared" ref="K7:K17" si="1">+G7</f>
        <v>15</v>
      </c>
      <c r="L7" s="202">
        <f>+K7*('Jerarq. Riesgos Plazo'!$M$65+1)</f>
        <v>16.793053497331126</v>
      </c>
      <c r="M7" s="64">
        <f>+N7*(-'Jerarq. Riesgos Costos'!$J$71+1)</f>
        <v>1447200</v>
      </c>
      <c r="N7" s="203">
        <f t="shared" ref="N7:N23" si="2">+I7</f>
        <v>1608000</v>
      </c>
      <c r="O7" s="49">
        <f>+N7*('Jerarq. Riesgos Costos'!$K$78+1)</f>
        <v>2007974.9554212759</v>
      </c>
      <c r="P7" s="29">
        <v>13</v>
      </c>
      <c r="Q7" s="203">
        <f t="shared" ref="Q7:Q70" si="3">+K7</f>
        <v>15</v>
      </c>
      <c r="R7" s="202">
        <f>+Q7*('Jerarq. Riesgos Plazo'!$M$67+1)</f>
        <v>20.6621900230869</v>
      </c>
      <c r="S7" s="34">
        <f>+T7*(-'Jerarq. Riesgos Costos'!$P$78+1)</f>
        <v>1447200</v>
      </c>
      <c r="T7" s="203">
        <f t="shared" ref="T7:T23" si="4">+N7</f>
        <v>1608000</v>
      </c>
      <c r="U7" s="34">
        <f>+T7*('Jerarq. Riesgos Costos'!$K$78+1)</f>
        <v>2007974.9554212759</v>
      </c>
      <c r="V7" s="59">
        <v>10</v>
      </c>
      <c r="W7" s="203">
        <f t="shared" ref="W7:W9" si="5">+S7</f>
        <v>1447200</v>
      </c>
      <c r="X7" s="202">
        <f>+W7*('Jerarq. Riesgos Plazo'!$M$65/100+1)</f>
        <v>1448929.9380142251</v>
      </c>
      <c r="Y7" s="64">
        <v>80000000</v>
      </c>
      <c r="Z7" s="34">
        <f>+U7</f>
        <v>2007974.9554212759</v>
      </c>
      <c r="AA7" s="49">
        <v>100000000</v>
      </c>
      <c r="AB7" s="29">
        <v>10</v>
      </c>
      <c r="AC7" s="203">
        <f t="shared" ref="AC7:AC9" si="6">+Y7</f>
        <v>80000000</v>
      </c>
      <c r="AD7" s="202">
        <f>+AC7*('Jerarq. Riesgos Plazo'!$M$65/100+1)</f>
        <v>80095629.51985766</v>
      </c>
      <c r="AE7" s="64">
        <v>80000000</v>
      </c>
      <c r="AF7" s="34">
        <f>+AA7</f>
        <v>100000000</v>
      </c>
      <c r="AG7" s="49">
        <v>100000000</v>
      </c>
    </row>
    <row r="8" spans="2:33" ht="18" x14ac:dyDescent="0.25">
      <c r="B8" s="335" t="s">
        <v>307</v>
      </c>
      <c r="C8" s="111" t="s">
        <v>618</v>
      </c>
      <c r="D8" s="112" t="s">
        <v>627</v>
      </c>
      <c r="E8" s="113" t="s">
        <v>411</v>
      </c>
      <c r="F8" s="112">
        <v>1</v>
      </c>
      <c r="G8" s="114">
        <v>20</v>
      </c>
      <c r="H8" s="114">
        <f>2*'Costo HH'!$D$8*G8</f>
        <v>2144000</v>
      </c>
      <c r="I8" s="325">
        <f t="shared" si="0"/>
        <v>2144000</v>
      </c>
      <c r="J8" s="245">
        <v>15</v>
      </c>
      <c r="K8" s="203">
        <f t="shared" si="1"/>
        <v>20</v>
      </c>
      <c r="L8" s="202">
        <f>+K8*('Jerarq. Riesgos Plazo'!$M$65+1)</f>
        <v>22.390737996441501</v>
      </c>
      <c r="M8" s="64">
        <f>+N8*(-'Jerarq. Riesgos Costos'!$J$71+1)</f>
        <v>1929600</v>
      </c>
      <c r="N8" s="203">
        <f t="shared" si="2"/>
        <v>2144000</v>
      </c>
      <c r="O8" s="49">
        <f>+N8*('Jerarq. Riesgos Costos'!$K$78+1)</f>
        <v>2677299.9405617011</v>
      </c>
      <c r="P8" s="245">
        <v>18</v>
      </c>
      <c r="Q8" s="203">
        <f t="shared" si="3"/>
        <v>20</v>
      </c>
      <c r="R8" s="202">
        <f>+Q8*('Jerarq. Riesgos Plazo'!$M$67+1)</f>
        <v>27.5495866974492</v>
      </c>
      <c r="S8" s="34">
        <f>+T8*(-'Jerarq. Riesgos Costos'!$P$78+1)</f>
        <v>1929600</v>
      </c>
      <c r="T8" s="203">
        <f t="shared" si="4"/>
        <v>2144000</v>
      </c>
      <c r="U8" s="34">
        <f>+T8*('Jerarq. Riesgos Costos'!$K$78+1)</f>
        <v>2677299.9405617011</v>
      </c>
      <c r="V8" s="288">
        <v>15</v>
      </c>
      <c r="W8" s="203">
        <f t="shared" si="5"/>
        <v>1929600</v>
      </c>
      <c r="X8" s="202">
        <f>+W8*('Jerarq. Riesgos Plazo'!$M$65/100+1)</f>
        <v>1931906.5840189666</v>
      </c>
      <c r="Y8" s="63"/>
      <c r="Z8" s="43"/>
      <c r="AA8" s="246"/>
      <c r="AB8" s="245">
        <v>15</v>
      </c>
      <c r="AC8" s="203">
        <f t="shared" si="6"/>
        <v>0</v>
      </c>
      <c r="AD8" s="202">
        <f>+AC8*('Jerarq. Riesgos Plazo'!$M$65/100+1)</f>
        <v>0</v>
      </c>
      <c r="AE8" s="63"/>
      <c r="AF8" s="43"/>
      <c r="AG8" s="246"/>
    </row>
    <row r="9" spans="2:33" ht="18" x14ac:dyDescent="0.25">
      <c r="B9" s="335" t="s">
        <v>307</v>
      </c>
      <c r="C9" s="111" t="s">
        <v>619</v>
      </c>
      <c r="D9" s="112" t="s">
        <v>616</v>
      </c>
      <c r="E9" s="113" t="s">
        <v>411</v>
      </c>
      <c r="F9" s="112">
        <v>1</v>
      </c>
      <c r="G9" s="114">
        <v>15</v>
      </c>
      <c r="H9" s="114">
        <f>2*'Costo HH'!$D$8*G9</f>
        <v>1608000</v>
      </c>
      <c r="I9" s="325">
        <f t="shared" si="0"/>
        <v>1608000</v>
      </c>
      <c r="J9" s="245">
        <v>10</v>
      </c>
      <c r="K9" s="203">
        <f t="shared" si="1"/>
        <v>15</v>
      </c>
      <c r="L9" s="202">
        <f>+K9*('Jerarq. Riesgos Plazo'!$M$65+1)</f>
        <v>16.793053497331126</v>
      </c>
      <c r="M9" s="64">
        <f>+N9*(-'Jerarq. Riesgos Costos'!$J$71+1)</f>
        <v>1447200</v>
      </c>
      <c r="N9" s="203">
        <f t="shared" si="2"/>
        <v>1608000</v>
      </c>
      <c r="O9" s="49">
        <f>+N9*('Jerarq. Riesgos Costos'!$K$78+1)</f>
        <v>2007974.9554212759</v>
      </c>
      <c r="P9" s="245">
        <v>12</v>
      </c>
      <c r="Q9" s="203">
        <f t="shared" si="3"/>
        <v>15</v>
      </c>
      <c r="R9" s="202">
        <f>+Q9*('Jerarq. Riesgos Plazo'!$M$67+1)</f>
        <v>20.6621900230869</v>
      </c>
      <c r="S9" s="34">
        <f>+T9*(-'Jerarq. Riesgos Costos'!$P$78+1)</f>
        <v>1447200</v>
      </c>
      <c r="T9" s="203">
        <f t="shared" si="4"/>
        <v>1608000</v>
      </c>
      <c r="U9" s="34">
        <f>+T9*('Jerarq. Riesgos Costos'!$K$78+1)</f>
        <v>2007974.9554212759</v>
      </c>
      <c r="V9" s="288">
        <v>10</v>
      </c>
      <c r="W9" s="203">
        <f t="shared" si="5"/>
        <v>1447200</v>
      </c>
      <c r="X9" s="202">
        <f>+W9*('Jerarq. Riesgos Plazo'!$M$65/100+1)</f>
        <v>1448929.9380142251</v>
      </c>
      <c r="Y9" s="63"/>
      <c r="Z9" s="43"/>
      <c r="AA9" s="246"/>
      <c r="AB9" s="245">
        <v>10</v>
      </c>
      <c r="AC9" s="203">
        <f t="shared" si="6"/>
        <v>0</v>
      </c>
      <c r="AD9" s="202">
        <f>+AC9*('Jerarq. Riesgos Plazo'!$M$65/100+1)</f>
        <v>0</v>
      </c>
      <c r="AE9" s="63"/>
      <c r="AF9" s="43"/>
      <c r="AG9" s="246"/>
    </row>
    <row r="10" spans="2:33" ht="18" x14ac:dyDescent="0.25">
      <c r="B10" s="336" t="s">
        <v>404</v>
      </c>
      <c r="C10" s="105">
        <v>2</v>
      </c>
      <c r="D10" s="106" t="s">
        <v>612</v>
      </c>
      <c r="E10" s="107"/>
      <c r="F10" s="108"/>
      <c r="G10" s="324">
        <f>SUM(G11:G17)</f>
        <v>64</v>
      </c>
      <c r="H10" s="109"/>
      <c r="I10" s="324">
        <f>SUM(I11:I17)</f>
        <v>154368000</v>
      </c>
      <c r="J10" s="133"/>
      <c r="K10" s="134"/>
      <c r="L10" s="201"/>
      <c r="M10" s="133"/>
      <c r="N10" s="134"/>
      <c r="O10" s="135"/>
      <c r="P10" s="133"/>
      <c r="Q10" s="134">
        <f t="shared" si="3"/>
        <v>0</v>
      </c>
      <c r="R10" s="135"/>
      <c r="S10" s="293"/>
      <c r="T10" s="134"/>
      <c r="U10" s="135"/>
      <c r="V10" s="133"/>
      <c r="W10" s="134"/>
      <c r="X10" s="201"/>
      <c r="Y10" s="133"/>
      <c r="Z10" s="134"/>
      <c r="AA10" s="135"/>
      <c r="AB10" s="133"/>
      <c r="AC10" s="134"/>
      <c r="AD10" s="201"/>
      <c r="AE10" s="133"/>
      <c r="AF10" s="134"/>
      <c r="AG10" s="135"/>
    </row>
    <row r="11" spans="2:33" ht="18" x14ac:dyDescent="0.25">
      <c r="B11" s="335" t="s">
        <v>307</v>
      </c>
      <c r="C11" s="111" t="s">
        <v>414</v>
      </c>
      <c r="D11" s="112" t="s">
        <v>621</v>
      </c>
      <c r="E11" s="113" t="s">
        <v>628</v>
      </c>
      <c r="F11" s="250">
        <f>5*9*G11</f>
        <v>225</v>
      </c>
      <c r="G11" s="114">
        <v>5</v>
      </c>
      <c r="H11" s="114">
        <f>+'Costo HH'!$D$9</f>
        <v>53600</v>
      </c>
      <c r="I11" s="325">
        <f>+F11*H11</f>
        <v>12060000</v>
      </c>
      <c r="J11" s="29">
        <v>4</v>
      </c>
      <c r="K11" s="203">
        <f t="shared" si="1"/>
        <v>5</v>
      </c>
      <c r="L11" s="202">
        <f>+K11*('Jerarq. Riesgos Plazo'!$M$65+1)</f>
        <v>5.5976844991103754</v>
      </c>
      <c r="M11" s="64">
        <f>+N11*(-'Jerarq. Riesgos Costos'!$J$71+1)</f>
        <v>10854000</v>
      </c>
      <c r="N11" s="203">
        <f t="shared" si="2"/>
        <v>12060000</v>
      </c>
      <c r="O11" s="49">
        <f>+N11*('Jerarq. Riesgos Costos'!$K$78+1)</f>
        <v>15059812.165659569</v>
      </c>
      <c r="P11" s="29">
        <v>4</v>
      </c>
      <c r="Q11" s="203">
        <f t="shared" si="3"/>
        <v>5</v>
      </c>
      <c r="R11" s="202">
        <f>+Q11*('Jerarq. Riesgos Plazo'!$M$67+1)</f>
        <v>6.8873966743623001</v>
      </c>
      <c r="S11" s="34">
        <f>+T11*(-'Jerarq. Riesgos Costos'!$P$78+1)</f>
        <v>10854000</v>
      </c>
      <c r="T11" s="203">
        <f t="shared" si="4"/>
        <v>12060000</v>
      </c>
      <c r="U11" s="34">
        <f>+T11*('Jerarq. Riesgos Costos'!$K$78+1)</f>
        <v>15059812.165659569</v>
      </c>
      <c r="V11" s="59">
        <v>4</v>
      </c>
      <c r="W11" s="203">
        <f t="shared" ref="W11:W17" si="7">+S11</f>
        <v>10854000</v>
      </c>
      <c r="X11" s="202">
        <f>+W11*('Jerarq. Riesgos Plazo'!$M$65/100+1)</f>
        <v>10866974.535106687</v>
      </c>
      <c r="Y11" s="29"/>
      <c r="Z11" s="4"/>
      <c r="AA11" s="30"/>
      <c r="AB11" s="29">
        <v>4</v>
      </c>
      <c r="AC11" s="203">
        <f t="shared" ref="AC11:AC17" si="8">+Y11</f>
        <v>0</v>
      </c>
      <c r="AD11" s="202">
        <f>+AC11*('Jerarq. Riesgos Plazo'!$M$65/100+1)</f>
        <v>0</v>
      </c>
      <c r="AE11" s="29"/>
      <c r="AF11" s="4"/>
      <c r="AG11" s="30"/>
    </row>
    <row r="12" spans="2:33" ht="18" x14ac:dyDescent="0.25">
      <c r="B12" s="335" t="s">
        <v>307</v>
      </c>
      <c r="C12" s="111" t="s">
        <v>417</v>
      </c>
      <c r="D12" s="112" t="s">
        <v>620</v>
      </c>
      <c r="E12" s="113" t="s">
        <v>628</v>
      </c>
      <c r="F12" s="250">
        <f t="shared" ref="F12:F17" si="9">5*9*G12</f>
        <v>180</v>
      </c>
      <c r="G12" s="114">
        <v>4</v>
      </c>
      <c r="H12" s="114">
        <f>+'Costo HH'!$D$9</f>
        <v>53600</v>
      </c>
      <c r="I12" s="325">
        <f>+F12*H12</f>
        <v>9648000</v>
      </c>
      <c r="J12" s="29">
        <v>3</v>
      </c>
      <c r="K12" s="203">
        <f t="shared" si="1"/>
        <v>4</v>
      </c>
      <c r="L12" s="202">
        <f>+K12*('Jerarq. Riesgos Plazo'!$M$65+1)</f>
        <v>4.4781475992883006</v>
      </c>
      <c r="M12" s="64">
        <f>+N12*(-'Jerarq. Riesgos Costos'!$J$71+1)</f>
        <v>8683200</v>
      </c>
      <c r="N12" s="203">
        <f t="shared" si="2"/>
        <v>9648000</v>
      </c>
      <c r="O12" s="49">
        <f>+N12*('Jerarq. Riesgos Costos'!$K$78+1)</f>
        <v>12047849.732527655</v>
      </c>
      <c r="P12" s="29">
        <v>3</v>
      </c>
      <c r="Q12" s="203">
        <f t="shared" si="3"/>
        <v>4</v>
      </c>
      <c r="R12" s="202">
        <f>+Q12*('Jerarq. Riesgos Plazo'!$M$67+1)</f>
        <v>5.5099173394898404</v>
      </c>
      <c r="S12" s="34">
        <f>+T12*(-'Jerarq. Riesgos Costos'!$P$78+1)</f>
        <v>8683200</v>
      </c>
      <c r="T12" s="203">
        <f t="shared" si="4"/>
        <v>9648000</v>
      </c>
      <c r="U12" s="34">
        <f>+T12*('Jerarq. Riesgos Costos'!$K$78+1)</f>
        <v>12047849.732527655</v>
      </c>
      <c r="V12" s="59">
        <v>3</v>
      </c>
      <c r="W12" s="203">
        <f t="shared" si="7"/>
        <v>8683200</v>
      </c>
      <c r="X12" s="202">
        <f>+W12*('Jerarq. Riesgos Plazo'!$M$65/100+1)</f>
        <v>8693579.6280853506</v>
      </c>
      <c r="Y12" s="64"/>
      <c r="Z12" s="34"/>
      <c r="AA12" s="49"/>
      <c r="AB12" s="29">
        <v>3</v>
      </c>
      <c r="AC12" s="203">
        <f t="shared" si="8"/>
        <v>0</v>
      </c>
      <c r="AD12" s="202">
        <f>+AC12*('Jerarq. Riesgos Plazo'!$M$65/100+1)</f>
        <v>0</v>
      </c>
      <c r="AE12" s="64"/>
      <c r="AF12" s="34"/>
      <c r="AG12" s="49"/>
    </row>
    <row r="13" spans="2:33" ht="18" x14ac:dyDescent="0.25">
      <c r="B13" s="335" t="s">
        <v>307</v>
      </c>
      <c r="C13" s="111" t="s">
        <v>419</v>
      </c>
      <c r="D13" s="112" t="s">
        <v>626</v>
      </c>
      <c r="E13" s="113" t="s">
        <v>628</v>
      </c>
      <c r="F13" s="250">
        <f t="shared" si="9"/>
        <v>315</v>
      </c>
      <c r="G13" s="114">
        <v>7</v>
      </c>
      <c r="H13" s="114">
        <f>+'Costo HH'!$D$9</f>
        <v>53600</v>
      </c>
      <c r="I13" s="325">
        <f t="shared" ref="I13:I17" si="10">+F13*H13</f>
        <v>16884000</v>
      </c>
      <c r="J13" s="245">
        <v>5</v>
      </c>
      <c r="K13" s="203">
        <f t="shared" si="1"/>
        <v>7</v>
      </c>
      <c r="L13" s="202">
        <f>+K13*('Jerarq. Riesgos Plazo'!$M$65+1)</f>
        <v>7.8367582987545266</v>
      </c>
      <c r="M13" s="64">
        <f>+N13*(-'Jerarq. Riesgos Costos'!$J$71+1)</f>
        <v>15195600</v>
      </c>
      <c r="N13" s="203">
        <f t="shared" si="2"/>
        <v>16884000</v>
      </c>
      <c r="O13" s="49">
        <f>+N13*('Jerarq. Riesgos Costos'!$K$78+1)</f>
        <v>21083737.031923395</v>
      </c>
      <c r="P13" s="245">
        <v>5</v>
      </c>
      <c r="Q13" s="203">
        <f t="shared" si="3"/>
        <v>7</v>
      </c>
      <c r="R13" s="202">
        <f>+Q13*('Jerarq. Riesgos Plazo'!$M$67+1)</f>
        <v>9.6423553441072212</v>
      </c>
      <c r="S13" s="34">
        <f>+T13*(-'Jerarq. Riesgos Costos'!$P$78+1)</f>
        <v>15195600</v>
      </c>
      <c r="T13" s="203">
        <f t="shared" si="4"/>
        <v>16884000</v>
      </c>
      <c r="U13" s="34">
        <f>+T13*('Jerarq. Riesgos Costos'!$K$78+1)</f>
        <v>21083737.031923395</v>
      </c>
      <c r="V13" s="288">
        <v>5</v>
      </c>
      <c r="W13" s="203">
        <f t="shared" si="7"/>
        <v>15195600</v>
      </c>
      <c r="X13" s="202">
        <f>+W13*('Jerarq. Riesgos Plazo'!$M$65/100+1)</f>
        <v>15213764.349149363</v>
      </c>
      <c r="Y13" s="63"/>
      <c r="Z13" s="43"/>
      <c r="AA13" s="246"/>
      <c r="AB13" s="245">
        <v>5</v>
      </c>
      <c r="AC13" s="203">
        <f t="shared" si="8"/>
        <v>0</v>
      </c>
      <c r="AD13" s="202">
        <f>+AC13*('Jerarq. Riesgos Plazo'!$M$65/100+1)</f>
        <v>0</v>
      </c>
      <c r="AE13" s="63"/>
      <c r="AF13" s="43"/>
      <c r="AG13" s="246"/>
    </row>
    <row r="14" spans="2:33" ht="18" x14ac:dyDescent="0.25">
      <c r="B14" s="335" t="s">
        <v>792</v>
      </c>
      <c r="C14" s="111" t="s">
        <v>421</v>
      </c>
      <c r="D14" s="112" t="s">
        <v>622</v>
      </c>
      <c r="E14" s="113" t="s">
        <v>628</v>
      </c>
      <c r="F14" s="250">
        <f t="shared" si="9"/>
        <v>450</v>
      </c>
      <c r="G14" s="114">
        <v>10</v>
      </c>
      <c r="H14" s="114">
        <f>+'Costo HH'!$D$9</f>
        <v>53600</v>
      </c>
      <c r="I14" s="325">
        <f t="shared" si="10"/>
        <v>24120000</v>
      </c>
      <c r="J14" s="245">
        <v>8</v>
      </c>
      <c r="K14" s="203">
        <f t="shared" si="1"/>
        <v>10</v>
      </c>
      <c r="L14" s="202">
        <f>+K14*('Jerarq. Riesgos Plazo'!$M$65+1)</f>
        <v>11.195368998220751</v>
      </c>
      <c r="M14" s="64">
        <f>+N14*(-'Jerarq. Riesgos Costos'!$J$71+1)</f>
        <v>21708000</v>
      </c>
      <c r="N14" s="203">
        <f t="shared" si="2"/>
        <v>24120000</v>
      </c>
      <c r="O14" s="49">
        <f>+N14*('Jerarq. Riesgos Costos'!$K$78+1)</f>
        <v>30119624.331319138</v>
      </c>
      <c r="P14" s="245">
        <v>8</v>
      </c>
      <c r="Q14" s="203">
        <f t="shared" si="3"/>
        <v>10</v>
      </c>
      <c r="R14" s="202">
        <f>+Q14*('Jerarq. Riesgos Plazo'!$M$67+1)</f>
        <v>13.7747933487246</v>
      </c>
      <c r="S14" s="34">
        <f>+T14*(-'Jerarq. Riesgos Costos'!$P$78+1)</f>
        <v>21708000</v>
      </c>
      <c r="T14" s="203">
        <f t="shared" si="4"/>
        <v>24120000</v>
      </c>
      <c r="U14" s="34">
        <f>+T14*('Jerarq. Riesgos Costos'!$K$78+1)</f>
        <v>30119624.331319138</v>
      </c>
      <c r="V14" s="288">
        <v>8</v>
      </c>
      <c r="W14" s="203">
        <f t="shared" si="7"/>
        <v>21708000</v>
      </c>
      <c r="X14" s="202">
        <f>+W14*('Jerarq. Riesgos Plazo'!$M$65/100+1)</f>
        <v>21733949.070213374</v>
      </c>
      <c r="Y14" s="63"/>
      <c r="Z14" s="43"/>
      <c r="AA14" s="246"/>
      <c r="AB14" s="245">
        <v>8</v>
      </c>
      <c r="AC14" s="203">
        <f t="shared" si="8"/>
        <v>0</v>
      </c>
      <c r="AD14" s="202">
        <f>+AC14*('Jerarq. Riesgos Plazo'!$M$65/100+1)</f>
        <v>0</v>
      </c>
      <c r="AE14" s="63"/>
      <c r="AF14" s="43"/>
      <c r="AG14" s="246"/>
    </row>
    <row r="15" spans="2:33" ht="18" x14ac:dyDescent="0.25">
      <c r="B15" s="335" t="s">
        <v>793</v>
      </c>
      <c r="C15" s="111" t="s">
        <v>423</v>
      </c>
      <c r="D15" s="112" t="s">
        <v>623</v>
      </c>
      <c r="E15" s="113" t="s">
        <v>628</v>
      </c>
      <c r="F15" s="250">
        <f t="shared" si="9"/>
        <v>675</v>
      </c>
      <c r="G15" s="114">
        <v>15</v>
      </c>
      <c r="H15" s="114">
        <f>+'Costo HH'!$D$9</f>
        <v>53600</v>
      </c>
      <c r="I15" s="325">
        <f t="shared" si="10"/>
        <v>36180000</v>
      </c>
      <c r="J15" s="245">
        <v>12</v>
      </c>
      <c r="K15" s="203">
        <f t="shared" si="1"/>
        <v>15</v>
      </c>
      <c r="L15" s="202">
        <f>+K15*('Jerarq. Riesgos Plazo'!$M$65+1)</f>
        <v>16.793053497331126</v>
      </c>
      <c r="M15" s="64">
        <f>+N15*(-'Jerarq. Riesgos Costos'!$J$71+1)</f>
        <v>32562000</v>
      </c>
      <c r="N15" s="203">
        <f t="shared" si="2"/>
        <v>36180000</v>
      </c>
      <c r="O15" s="49">
        <f>+N15*('Jerarq. Riesgos Costos'!$K$78+1)</f>
        <v>45179436.496978708</v>
      </c>
      <c r="P15" s="245">
        <v>13</v>
      </c>
      <c r="Q15" s="203">
        <f t="shared" si="3"/>
        <v>15</v>
      </c>
      <c r="R15" s="202">
        <f>+Q15*('Jerarq. Riesgos Plazo'!$M$67+1)</f>
        <v>20.6621900230869</v>
      </c>
      <c r="S15" s="34">
        <f>+T15*(-'Jerarq. Riesgos Costos'!$P$78+1)</f>
        <v>32562000</v>
      </c>
      <c r="T15" s="203">
        <f t="shared" si="4"/>
        <v>36180000</v>
      </c>
      <c r="U15" s="34">
        <f>+T15*('Jerarq. Riesgos Costos'!$K$78+1)</f>
        <v>45179436.496978708</v>
      </c>
      <c r="V15" s="288">
        <v>12</v>
      </c>
      <c r="W15" s="203">
        <f t="shared" si="7"/>
        <v>32562000</v>
      </c>
      <c r="X15" s="202">
        <f>+W15*('Jerarq. Riesgos Plazo'!$M$65/100+1)</f>
        <v>32600923.605320062</v>
      </c>
      <c r="Y15" s="63"/>
      <c r="Z15" s="43"/>
      <c r="AA15" s="246"/>
      <c r="AB15" s="245">
        <v>12</v>
      </c>
      <c r="AC15" s="203">
        <f t="shared" si="8"/>
        <v>0</v>
      </c>
      <c r="AD15" s="202">
        <f>+AC15*('Jerarq. Riesgos Plazo'!$M$65/100+1)</f>
        <v>0</v>
      </c>
      <c r="AE15" s="63"/>
      <c r="AF15" s="43"/>
      <c r="AG15" s="246"/>
    </row>
    <row r="16" spans="2:33" ht="18" x14ac:dyDescent="0.25">
      <c r="B16" s="335" t="s">
        <v>794</v>
      </c>
      <c r="C16" s="111" t="s">
        <v>425</v>
      </c>
      <c r="D16" s="112" t="s">
        <v>624</v>
      </c>
      <c r="E16" s="113" t="s">
        <v>628</v>
      </c>
      <c r="F16" s="250">
        <f t="shared" si="9"/>
        <v>360</v>
      </c>
      <c r="G16" s="114">
        <v>8</v>
      </c>
      <c r="H16" s="114">
        <f>+'Costo HH'!$D$9</f>
        <v>53600</v>
      </c>
      <c r="I16" s="325">
        <f t="shared" si="10"/>
        <v>19296000</v>
      </c>
      <c r="J16" s="245">
        <v>6</v>
      </c>
      <c r="K16" s="203">
        <f t="shared" si="1"/>
        <v>8</v>
      </c>
      <c r="L16" s="202">
        <f>+K16*('Jerarq. Riesgos Plazo'!$M$65+1)</f>
        <v>8.9562951985766013</v>
      </c>
      <c r="M16" s="64">
        <f>+N16*(-'Jerarq. Riesgos Costos'!$J$71+1)</f>
        <v>17366400</v>
      </c>
      <c r="N16" s="203">
        <f t="shared" si="2"/>
        <v>19296000</v>
      </c>
      <c r="O16" s="49">
        <f>+N16*('Jerarq. Riesgos Costos'!$K$78+1)</f>
        <v>24095699.465055309</v>
      </c>
      <c r="P16" s="245">
        <v>7</v>
      </c>
      <c r="Q16" s="203">
        <f t="shared" si="3"/>
        <v>8</v>
      </c>
      <c r="R16" s="202">
        <f>+Q16*('Jerarq. Riesgos Plazo'!$M$67+1)</f>
        <v>11.019834678979681</v>
      </c>
      <c r="S16" s="34">
        <f>+T16*(-'Jerarq. Riesgos Costos'!$P$78+1)</f>
        <v>17366400</v>
      </c>
      <c r="T16" s="203">
        <f t="shared" si="4"/>
        <v>19296000</v>
      </c>
      <c r="U16" s="34">
        <f>+T16*('Jerarq. Riesgos Costos'!$K$78+1)</f>
        <v>24095699.465055309</v>
      </c>
      <c r="V16" s="288">
        <v>6</v>
      </c>
      <c r="W16" s="203">
        <f t="shared" si="7"/>
        <v>17366400</v>
      </c>
      <c r="X16" s="202">
        <f>+W16*('Jerarq. Riesgos Plazo'!$M$65/100+1)</f>
        <v>17387159.256170701</v>
      </c>
      <c r="Y16" s="63"/>
      <c r="Z16" s="43"/>
      <c r="AA16" s="246"/>
      <c r="AB16" s="245">
        <v>6</v>
      </c>
      <c r="AC16" s="203">
        <f t="shared" si="8"/>
        <v>0</v>
      </c>
      <c r="AD16" s="202">
        <f>+AC16*('Jerarq. Riesgos Plazo'!$M$65/100+1)</f>
        <v>0</v>
      </c>
      <c r="AE16" s="63"/>
      <c r="AF16" s="43"/>
      <c r="AG16" s="246"/>
    </row>
    <row r="17" spans="2:37" ht="17.25" customHeight="1" x14ac:dyDescent="0.25">
      <c r="B17" s="335" t="s">
        <v>307</v>
      </c>
      <c r="C17" s="111" t="s">
        <v>427</v>
      </c>
      <c r="D17" s="112" t="s">
        <v>625</v>
      </c>
      <c r="E17" s="113" t="s">
        <v>628</v>
      </c>
      <c r="F17" s="250">
        <f t="shared" si="9"/>
        <v>675</v>
      </c>
      <c r="G17" s="114">
        <v>15</v>
      </c>
      <c r="H17" s="114">
        <f>+'Costo HH'!$D$9</f>
        <v>53600</v>
      </c>
      <c r="I17" s="325">
        <f t="shared" si="10"/>
        <v>36180000</v>
      </c>
      <c r="J17" s="245">
        <v>10</v>
      </c>
      <c r="K17" s="203">
        <f t="shared" si="1"/>
        <v>15</v>
      </c>
      <c r="L17" s="202">
        <f>+K17*('Jerarq. Riesgos Plazo'!$M$65+1)</f>
        <v>16.793053497331126</v>
      </c>
      <c r="M17" s="64">
        <f>+N17*(-'Jerarq. Riesgos Costos'!$J$71+1)</f>
        <v>32562000</v>
      </c>
      <c r="N17" s="203">
        <f t="shared" si="2"/>
        <v>36180000</v>
      </c>
      <c r="O17" s="49">
        <f>+N17*('Jerarq. Riesgos Costos'!$K$78+1)</f>
        <v>45179436.496978708</v>
      </c>
      <c r="P17" s="245">
        <v>13</v>
      </c>
      <c r="Q17" s="203">
        <f t="shared" si="3"/>
        <v>15</v>
      </c>
      <c r="R17" s="202">
        <f>+Q17*('Jerarq. Riesgos Plazo'!$M$67+1)</f>
        <v>20.6621900230869</v>
      </c>
      <c r="S17" s="34">
        <f>+T17*(-'Jerarq. Riesgos Costos'!$P$78+1)</f>
        <v>32562000</v>
      </c>
      <c r="T17" s="203">
        <f t="shared" si="4"/>
        <v>36180000</v>
      </c>
      <c r="U17" s="34">
        <f>+T17*('Jerarq. Riesgos Costos'!$K$78+1)</f>
        <v>45179436.496978708</v>
      </c>
      <c r="V17" s="288">
        <v>10</v>
      </c>
      <c r="W17" s="203">
        <f t="shared" si="7"/>
        <v>32562000</v>
      </c>
      <c r="X17" s="202">
        <f>+W17*('Jerarq. Riesgos Plazo'!$M$65/100+1)</f>
        <v>32600923.605320062</v>
      </c>
      <c r="Y17" s="63"/>
      <c r="Z17" s="43"/>
      <c r="AA17" s="246"/>
      <c r="AB17" s="245">
        <v>10</v>
      </c>
      <c r="AC17" s="203">
        <f t="shared" si="8"/>
        <v>0</v>
      </c>
      <c r="AD17" s="202">
        <f>+AC17*('Jerarq. Riesgos Plazo'!$M$65/100+1)</f>
        <v>0</v>
      </c>
      <c r="AE17" s="63"/>
      <c r="AF17" s="43"/>
      <c r="AG17" s="246"/>
    </row>
    <row r="18" spans="2:37" ht="18" x14ac:dyDescent="0.25">
      <c r="B18" s="336" t="s">
        <v>404</v>
      </c>
      <c r="C18" s="105">
        <v>3</v>
      </c>
      <c r="D18" s="106" t="s">
        <v>613</v>
      </c>
      <c r="E18" s="107"/>
      <c r="F18" s="108"/>
      <c r="G18" s="324">
        <f>SUM(G19:G22)</f>
        <v>72</v>
      </c>
      <c r="H18" s="109"/>
      <c r="I18" s="324">
        <f>SUM(I19:I22)</f>
        <v>7718400</v>
      </c>
      <c r="J18" s="133"/>
      <c r="K18" s="134"/>
      <c r="L18" s="201"/>
      <c r="M18" s="133"/>
      <c r="N18" s="134"/>
      <c r="O18" s="135"/>
      <c r="P18" s="133"/>
      <c r="Q18" s="134">
        <f t="shared" si="3"/>
        <v>0</v>
      </c>
      <c r="R18" s="135"/>
      <c r="S18" s="293"/>
      <c r="T18" s="134"/>
      <c r="U18" s="135"/>
      <c r="V18" s="133"/>
      <c r="W18" s="134"/>
      <c r="X18" s="201"/>
      <c r="Y18" s="133"/>
      <c r="Z18" s="134"/>
      <c r="AA18" s="135"/>
      <c r="AB18" s="133"/>
      <c r="AC18" s="134"/>
      <c r="AD18" s="201"/>
      <c r="AE18" s="133"/>
      <c r="AF18" s="134"/>
      <c r="AG18" s="135"/>
    </row>
    <row r="19" spans="2:37" ht="18" x14ac:dyDescent="0.25">
      <c r="B19" s="335" t="s">
        <v>307</v>
      </c>
      <c r="C19" s="111" t="s">
        <v>436</v>
      </c>
      <c r="D19" s="112" t="s">
        <v>574</v>
      </c>
      <c r="E19" s="113" t="s">
        <v>411</v>
      </c>
      <c r="F19" s="112">
        <v>1</v>
      </c>
      <c r="G19" s="114">
        <v>15</v>
      </c>
      <c r="H19" s="114">
        <f>2*'Costo HH'!$D$8*G19</f>
        <v>1608000</v>
      </c>
      <c r="I19" s="325">
        <f>+F19*H19</f>
        <v>1608000</v>
      </c>
      <c r="J19" s="29">
        <v>13</v>
      </c>
      <c r="K19" s="203">
        <f>+G19</f>
        <v>15</v>
      </c>
      <c r="L19" s="202">
        <f>+K19*('Jerarq. Riesgos Plazo'!$M$65+1)</f>
        <v>16.793053497331126</v>
      </c>
      <c r="M19" s="64">
        <f>+N19*(-'Jerarq. Riesgos Costos'!$J$71+1)</f>
        <v>1447200</v>
      </c>
      <c r="N19" s="203">
        <f t="shared" si="2"/>
        <v>1608000</v>
      </c>
      <c r="O19" s="49">
        <f>+N19*('Jerarq. Riesgos Costos'!$K$78+1)</f>
        <v>2007974.9554212759</v>
      </c>
      <c r="P19" s="29">
        <v>13</v>
      </c>
      <c r="Q19" s="203">
        <f t="shared" si="3"/>
        <v>15</v>
      </c>
      <c r="R19" s="202">
        <f>+Q19*('Jerarq. Riesgos Plazo'!$M$67+1)</f>
        <v>20.6621900230869</v>
      </c>
      <c r="S19" s="34">
        <f>+T19*(-'Jerarq. Riesgos Costos'!$P$78+1)</f>
        <v>1447200</v>
      </c>
      <c r="T19" s="203">
        <f t="shared" si="4"/>
        <v>1608000</v>
      </c>
      <c r="U19" s="34">
        <f>+T19*('Jerarq. Riesgos Costos'!$K$78+1)</f>
        <v>2007974.9554212759</v>
      </c>
      <c r="V19" s="59">
        <v>13</v>
      </c>
      <c r="W19" s="203">
        <f>+S19</f>
        <v>1447200</v>
      </c>
      <c r="X19" s="202">
        <f>+W19*('Jerarq. Riesgos Plazo'!$M$65/100+1)</f>
        <v>1448929.9380142251</v>
      </c>
      <c r="Y19" s="203">
        <v>2000000</v>
      </c>
      <c r="Z19" s="203">
        <f>+U19</f>
        <v>2007974.9554212759</v>
      </c>
      <c r="AA19" s="49">
        <f>+Z19*('Jerarq. Riesgos Plazo'!$M$3/100+1)</f>
        <v>2009912.1872125193</v>
      </c>
      <c r="AB19" s="29">
        <v>13</v>
      </c>
      <c r="AC19" s="203">
        <f>+Y19</f>
        <v>2000000</v>
      </c>
      <c r="AD19" s="202">
        <f>+AC19*('Jerarq. Riesgos Plazo'!$M$65/100+1)</f>
        <v>2002390.7379964413</v>
      </c>
      <c r="AE19" s="203">
        <v>2000000</v>
      </c>
      <c r="AF19" s="203">
        <f>+AA19</f>
        <v>2009912.1872125193</v>
      </c>
      <c r="AG19" s="49">
        <f>+AF19*('Jerarq. Riesgos Plazo'!$M$3/100+1)</f>
        <v>2011851.2879847493</v>
      </c>
    </row>
    <row r="20" spans="2:37" ht="18" x14ac:dyDescent="0.25">
      <c r="B20" s="335" t="s">
        <v>307</v>
      </c>
      <c r="C20" s="111" t="s">
        <v>437</v>
      </c>
      <c r="D20" s="112" t="s">
        <v>615</v>
      </c>
      <c r="E20" s="113" t="s">
        <v>411</v>
      </c>
      <c r="F20" s="112">
        <v>1</v>
      </c>
      <c r="G20" s="114">
        <v>25</v>
      </c>
      <c r="H20" s="114">
        <f>2*'Costo HH'!$D$8*G20</f>
        <v>2680000</v>
      </c>
      <c r="I20" s="325">
        <f t="shared" ref="I20:I22" si="11">+F20*H20</f>
        <v>2680000</v>
      </c>
      <c r="J20" s="29">
        <v>22</v>
      </c>
      <c r="K20" s="203">
        <f t="shared" ref="K20:K22" si="12">+G20</f>
        <v>25</v>
      </c>
      <c r="L20" s="202">
        <f>+K20*('Jerarq. Riesgos Plazo'!$M$65+1)</f>
        <v>27.98842249555188</v>
      </c>
      <c r="M20" s="64">
        <f>+N20*(-'Jerarq. Riesgos Costos'!$J$71+1)</f>
        <v>2412000</v>
      </c>
      <c r="N20" s="203">
        <f t="shared" si="2"/>
        <v>2680000</v>
      </c>
      <c r="O20" s="49">
        <f>+N20*('Jerarq. Riesgos Costos'!$K$78+1)</f>
        <v>3346624.9257021262</v>
      </c>
      <c r="P20" s="29">
        <v>23</v>
      </c>
      <c r="Q20" s="203">
        <f t="shared" si="3"/>
        <v>25</v>
      </c>
      <c r="R20" s="202">
        <f>+Q20*('Jerarq. Riesgos Plazo'!$M$67+1)</f>
        <v>34.4369833718115</v>
      </c>
      <c r="S20" s="34">
        <f>+T20*(-'Jerarq. Riesgos Costos'!$P$78+1)</f>
        <v>2412000</v>
      </c>
      <c r="T20" s="203">
        <f t="shared" si="4"/>
        <v>2680000</v>
      </c>
      <c r="U20" s="34">
        <f>+T20*('Jerarq. Riesgos Costos'!$K$78+1)</f>
        <v>3346624.9257021262</v>
      </c>
      <c r="V20" s="59">
        <v>22</v>
      </c>
      <c r="W20" s="203">
        <f t="shared" ref="W20:W22" si="13">+S20</f>
        <v>2412000</v>
      </c>
      <c r="X20" s="202">
        <f>+W20*('Jerarq. Riesgos Plazo'!$M$65/100+1)</f>
        <v>2414883.2300237082</v>
      </c>
      <c r="Y20" s="64">
        <v>80000000</v>
      </c>
      <c r="Z20" s="34">
        <f>+U20</f>
        <v>3346624.9257021262</v>
      </c>
      <c r="AA20" s="49">
        <v>100000000</v>
      </c>
      <c r="AB20" s="29">
        <v>22</v>
      </c>
      <c r="AC20" s="203">
        <f t="shared" ref="AC20:AC22" si="14">+Y20</f>
        <v>80000000</v>
      </c>
      <c r="AD20" s="202">
        <f>+AC20*('Jerarq. Riesgos Plazo'!$M$65/100+1)</f>
        <v>80095629.51985766</v>
      </c>
      <c r="AE20" s="64">
        <v>80000000</v>
      </c>
      <c r="AF20" s="34">
        <f>+AA20</f>
        <v>100000000</v>
      </c>
      <c r="AG20" s="49">
        <v>100000000</v>
      </c>
    </row>
    <row r="21" spans="2:37" ht="18" x14ac:dyDescent="0.25">
      <c r="B21" s="335" t="s">
        <v>307</v>
      </c>
      <c r="C21" s="111" t="s">
        <v>439</v>
      </c>
      <c r="D21" s="112" t="s">
        <v>627</v>
      </c>
      <c r="E21" s="113" t="s">
        <v>411</v>
      </c>
      <c r="F21" s="112">
        <v>1</v>
      </c>
      <c r="G21" s="114">
        <v>12</v>
      </c>
      <c r="H21" s="114">
        <f>2*'Costo HH'!$D$8*G21</f>
        <v>1286400</v>
      </c>
      <c r="I21" s="325">
        <f t="shared" si="11"/>
        <v>1286400</v>
      </c>
      <c r="J21" s="245">
        <v>10</v>
      </c>
      <c r="K21" s="203">
        <f t="shared" si="12"/>
        <v>12</v>
      </c>
      <c r="L21" s="202">
        <f>+K21*('Jerarq. Riesgos Plazo'!$M$65+1)</f>
        <v>13.434442797864902</v>
      </c>
      <c r="M21" s="64">
        <f>+N21*(-'Jerarq. Riesgos Costos'!$J$71+1)</f>
        <v>1157760</v>
      </c>
      <c r="N21" s="203">
        <f t="shared" si="2"/>
        <v>1286400</v>
      </c>
      <c r="O21" s="49">
        <f>+N21*('Jerarq. Riesgos Costos'!$K$78+1)</f>
        <v>1606379.9643370206</v>
      </c>
      <c r="P21" s="245">
        <v>10</v>
      </c>
      <c r="Q21" s="203">
        <f t="shared" si="3"/>
        <v>12</v>
      </c>
      <c r="R21" s="202">
        <f>+Q21*('Jerarq. Riesgos Plazo'!$M$67+1)</f>
        <v>16.529752018469523</v>
      </c>
      <c r="S21" s="34">
        <f>+T21*(-'Jerarq. Riesgos Costos'!$P$78+1)</f>
        <v>1157760</v>
      </c>
      <c r="T21" s="203">
        <f t="shared" si="4"/>
        <v>1286400</v>
      </c>
      <c r="U21" s="34">
        <f>+T21*('Jerarq. Riesgos Costos'!$K$78+1)</f>
        <v>1606379.9643370206</v>
      </c>
      <c r="V21" s="288">
        <v>10</v>
      </c>
      <c r="W21" s="203">
        <f t="shared" si="13"/>
        <v>1157760</v>
      </c>
      <c r="X21" s="202">
        <f>+W21*('Jerarq. Riesgos Plazo'!$M$65/100+1)</f>
        <v>1159143.95041138</v>
      </c>
      <c r="Y21" s="63"/>
      <c r="Z21" s="43"/>
      <c r="AA21" s="246"/>
      <c r="AB21" s="245">
        <v>10</v>
      </c>
      <c r="AC21" s="203">
        <f t="shared" si="14"/>
        <v>0</v>
      </c>
      <c r="AD21" s="202">
        <f>+AC21*('Jerarq. Riesgos Plazo'!$M$65/100+1)</f>
        <v>0</v>
      </c>
      <c r="AE21" s="63"/>
      <c r="AF21" s="43"/>
      <c r="AG21" s="246"/>
    </row>
    <row r="22" spans="2:37" ht="18" x14ac:dyDescent="0.25">
      <c r="B22" s="335" t="s">
        <v>307</v>
      </c>
      <c r="C22" s="111" t="s">
        <v>441</v>
      </c>
      <c r="D22" s="112" t="s">
        <v>616</v>
      </c>
      <c r="E22" s="113" t="s">
        <v>411</v>
      </c>
      <c r="F22" s="112">
        <v>1</v>
      </c>
      <c r="G22" s="114">
        <v>20</v>
      </c>
      <c r="H22" s="114">
        <f>2*'Costo HH'!$D$8*G22</f>
        <v>2144000</v>
      </c>
      <c r="I22" s="325">
        <f t="shared" si="11"/>
        <v>2144000</v>
      </c>
      <c r="J22" s="245">
        <v>16</v>
      </c>
      <c r="K22" s="203">
        <f t="shared" si="12"/>
        <v>20</v>
      </c>
      <c r="L22" s="202">
        <f>+K22*('Jerarq. Riesgos Plazo'!$M$65+1)</f>
        <v>22.390737996441501</v>
      </c>
      <c r="M22" s="64">
        <f>+N22*(-'Jerarq. Riesgos Costos'!$J$71+1)</f>
        <v>1929600</v>
      </c>
      <c r="N22" s="203">
        <f t="shared" si="2"/>
        <v>2144000</v>
      </c>
      <c r="O22" s="49">
        <f>+N22*('Jerarq. Riesgos Costos'!$K$78+1)</f>
        <v>2677299.9405617011</v>
      </c>
      <c r="P22" s="245">
        <v>18</v>
      </c>
      <c r="Q22" s="203">
        <f t="shared" si="3"/>
        <v>20</v>
      </c>
      <c r="R22" s="202">
        <f>+Q22*('Jerarq. Riesgos Plazo'!$M$67+1)</f>
        <v>27.5495866974492</v>
      </c>
      <c r="S22" s="34">
        <f>+T22*(-'Jerarq. Riesgos Costos'!$P$78+1)</f>
        <v>1929600</v>
      </c>
      <c r="T22" s="203">
        <f t="shared" si="4"/>
        <v>2144000</v>
      </c>
      <c r="U22" s="34">
        <f>+T22*('Jerarq. Riesgos Costos'!$K$78+1)</f>
        <v>2677299.9405617011</v>
      </c>
      <c r="V22" s="288">
        <v>16</v>
      </c>
      <c r="W22" s="203">
        <f t="shared" si="13"/>
        <v>1929600</v>
      </c>
      <c r="X22" s="202">
        <f>+W22*('Jerarq. Riesgos Plazo'!$M$65/100+1)</f>
        <v>1931906.5840189666</v>
      </c>
      <c r="Y22" s="63"/>
      <c r="Z22" s="43"/>
      <c r="AA22" s="246"/>
      <c r="AB22" s="245">
        <v>16</v>
      </c>
      <c r="AC22" s="203">
        <f t="shared" si="14"/>
        <v>0</v>
      </c>
      <c r="AD22" s="202">
        <f>+AC22*('Jerarq. Riesgos Plazo'!$M$65/100+1)</f>
        <v>0</v>
      </c>
      <c r="AE22" s="63"/>
      <c r="AF22" s="43"/>
      <c r="AG22" s="246"/>
    </row>
    <row r="23" spans="2:37" ht="18" x14ac:dyDescent="0.25">
      <c r="B23" s="336" t="s">
        <v>404</v>
      </c>
      <c r="C23" s="105">
        <v>4</v>
      </c>
      <c r="D23" s="106" t="s">
        <v>629</v>
      </c>
      <c r="E23" s="107"/>
      <c r="F23" s="108"/>
      <c r="G23" s="324">
        <f>+G24+G27+G39+G49+G81+G90+G110+G147</f>
        <v>135.10000000000002</v>
      </c>
      <c r="H23" s="109"/>
      <c r="I23" s="324">
        <f>+I24+I27+I39+I49+I81+I90+I110+I147</f>
        <v>583519794.9399904</v>
      </c>
      <c r="J23" s="133"/>
      <c r="K23" s="134"/>
      <c r="L23" s="201"/>
      <c r="M23" s="133"/>
      <c r="N23" s="134">
        <f t="shared" si="2"/>
        <v>583519794.9399904</v>
      </c>
      <c r="O23" s="135"/>
      <c r="P23" s="133"/>
      <c r="Q23" s="134">
        <f t="shared" si="3"/>
        <v>0</v>
      </c>
      <c r="R23" s="135"/>
      <c r="S23" s="293"/>
      <c r="T23" s="134">
        <f t="shared" si="4"/>
        <v>583519794.9399904</v>
      </c>
      <c r="U23" s="135"/>
      <c r="V23" s="133"/>
      <c r="W23" s="134"/>
      <c r="X23" s="201"/>
      <c r="Y23" s="133"/>
      <c r="Z23" s="134"/>
      <c r="AA23" s="135"/>
      <c r="AB23" s="133"/>
      <c r="AC23" s="134"/>
      <c r="AD23" s="201"/>
      <c r="AE23" s="133"/>
      <c r="AF23" s="134"/>
      <c r="AG23" s="135"/>
      <c r="AJ23">
        <v>25</v>
      </c>
      <c r="AK23" s="354">
        <f>+AJ23/100*G23</f>
        <v>33.775000000000006</v>
      </c>
    </row>
    <row r="24" spans="2:37" ht="18" x14ac:dyDescent="0.25">
      <c r="B24" s="335" t="s">
        <v>307</v>
      </c>
      <c r="C24" s="251" t="s">
        <v>451</v>
      </c>
      <c r="D24" s="252" t="s">
        <v>801</v>
      </c>
      <c r="E24" s="253"/>
      <c r="F24" s="254"/>
      <c r="G24" s="255">
        <f>+SUM(G25:G26)</f>
        <v>35</v>
      </c>
      <c r="H24" s="255"/>
      <c r="I24" s="262">
        <f>+I25+I26</f>
        <v>140000000</v>
      </c>
      <c r="J24" s="257">
        <f>+SUM(J25:J26)</f>
        <v>30</v>
      </c>
      <c r="K24" s="258">
        <f>+SUM(K25:K26)</f>
        <v>35</v>
      </c>
      <c r="L24" s="256">
        <f>+SUM(L25:L26)</f>
        <v>39.183791493772631</v>
      </c>
      <c r="M24" s="257">
        <f>+SUM(M25:M26)</f>
        <v>126000000</v>
      </c>
      <c r="N24" s="258">
        <f>+SUM(N25:N26)</f>
        <v>140000000</v>
      </c>
      <c r="O24" s="262">
        <f>+O25+O26</f>
        <v>174823690.14861855</v>
      </c>
      <c r="P24" s="257">
        <v>32</v>
      </c>
      <c r="Q24" s="258">
        <f t="shared" si="3"/>
        <v>35</v>
      </c>
      <c r="R24" s="262">
        <f>+Q24*('Jerarq. Riesgos Plazo'!$M$67+1)</f>
        <v>48.211776720536101</v>
      </c>
      <c r="S24" s="257">
        <f>+SUM(S25:S26)</f>
        <v>126000000</v>
      </c>
      <c r="T24" s="258">
        <f>+SUM(T25:T26)</f>
        <v>140000000</v>
      </c>
      <c r="U24" s="262">
        <f>+U25+U26</f>
        <v>177094760.59447417</v>
      </c>
      <c r="V24" s="257">
        <v>30</v>
      </c>
      <c r="W24" s="258">
        <f>+SUM(W25:W26)</f>
        <v>35</v>
      </c>
      <c r="X24" s="256">
        <f>+W24*('Jerarq. Riesgos Plazo'!$M$65/100+1)</f>
        <v>35.041837914937723</v>
      </c>
      <c r="Y24" s="257"/>
      <c r="Z24" s="258"/>
      <c r="AA24" s="259"/>
      <c r="AB24" s="257">
        <v>30</v>
      </c>
      <c r="AC24" s="258">
        <f>+SUM(AC25:AC26)</f>
        <v>35</v>
      </c>
      <c r="AD24" s="256">
        <f>+AC24*('Jerarq. Riesgos Plazo'!$M$65/100+1)</f>
        <v>35.041837914937723</v>
      </c>
      <c r="AE24" s="257"/>
      <c r="AF24" s="258"/>
      <c r="AG24" s="259"/>
    </row>
    <row r="25" spans="2:37" ht="18" hidden="1" x14ac:dyDescent="0.25">
      <c r="B25" s="335" t="s">
        <v>406</v>
      </c>
      <c r="C25" s="111" t="s">
        <v>631</v>
      </c>
      <c r="D25" s="112" t="s">
        <v>410</v>
      </c>
      <c r="E25" s="113" t="s">
        <v>411</v>
      </c>
      <c r="F25" s="112">
        <v>1</v>
      </c>
      <c r="G25" s="265">
        <v>25</v>
      </c>
      <c r="H25" s="114">
        <v>50000000</v>
      </c>
      <c r="I25" s="325">
        <f>+F25*H25</f>
        <v>50000000</v>
      </c>
      <c r="J25" s="64">
        <v>22</v>
      </c>
      <c r="K25" s="34">
        <f>+G25</f>
        <v>25</v>
      </c>
      <c r="L25" s="289">
        <f>+K25*('Jerarq. Riesgos Plazo'!$M$65+1)</f>
        <v>27.98842249555188</v>
      </c>
      <c r="M25" s="64">
        <f>+N25*(-'Jerarq. Riesgos Costos'!$J$71+1)</f>
        <v>45000000</v>
      </c>
      <c r="N25" s="34">
        <f>+I25</f>
        <v>50000000</v>
      </c>
      <c r="O25" s="49">
        <f>+N25*('Jerarq. Riesgos Costos'!$K$78+1)</f>
        <v>62437032.195935197</v>
      </c>
      <c r="P25" s="29"/>
      <c r="Q25" s="4">
        <f t="shared" si="3"/>
        <v>25</v>
      </c>
      <c r="R25" s="264">
        <f>+Q25*('Jerarq. Riesgos Plazo'!$M$67+1)</f>
        <v>34.4369833718115</v>
      </c>
      <c r="S25" s="34">
        <f>+T25*(-'Jerarq. Riesgos Costos'!$P$78+1)</f>
        <v>45000000</v>
      </c>
      <c r="T25" s="203">
        <f t="shared" ref="T25:T26" si="15">+N25</f>
        <v>50000000</v>
      </c>
      <c r="U25" s="34">
        <f>+T25*('Jerarq. Riesgos Costos'!$Q$78+1)</f>
        <v>63248128.783740774</v>
      </c>
      <c r="V25" s="29"/>
      <c r="W25" s="4">
        <v>25</v>
      </c>
      <c r="X25" s="202"/>
      <c r="Y25" s="64"/>
      <c r="Z25" s="34"/>
      <c r="AA25" s="49"/>
      <c r="AB25" s="29"/>
      <c r="AC25" s="4">
        <v>25</v>
      </c>
      <c r="AD25" s="202"/>
      <c r="AE25" s="64"/>
      <c r="AF25" s="34"/>
      <c r="AG25" s="49"/>
    </row>
    <row r="26" spans="2:37" ht="18" hidden="1" x14ac:dyDescent="0.25">
      <c r="B26" s="335" t="s">
        <v>406</v>
      </c>
      <c r="C26" s="111" t="s">
        <v>630</v>
      </c>
      <c r="D26" s="112" t="s">
        <v>408</v>
      </c>
      <c r="E26" s="113" t="s">
        <v>409</v>
      </c>
      <c r="F26" s="112">
        <v>3</v>
      </c>
      <c r="G26" s="265">
        <v>10</v>
      </c>
      <c r="H26" s="114">
        <v>30000000</v>
      </c>
      <c r="I26" s="325">
        <f>+F26*H26</f>
        <v>90000000</v>
      </c>
      <c r="J26" s="29">
        <v>8</v>
      </c>
      <c r="K26" s="4">
        <f>+G26</f>
        <v>10</v>
      </c>
      <c r="L26" s="202">
        <f>+K26*('Jerarq. Riesgos Plazo'!$M$65+1)</f>
        <v>11.195368998220751</v>
      </c>
      <c r="M26" s="64">
        <f>+N26*(-'Jerarq. Riesgos Costos'!$J$71+1)</f>
        <v>81000000</v>
      </c>
      <c r="N26" s="203">
        <f>+I26</f>
        <v>90000000</v>
      </c>
      <c r="O26" s="49">
        <f>+N26*('Jerarq. Riesgos Costos'!$K$78+1)</f>
        <v>112386657.95268334</v>
      </c>
      <c r="P26" s="29"/>
      <c r="Q26" s="4">
        <f t="shared" si="3"/>
        <v>10</v>
      </c>
      <c r="R26" s="264">
        <f>+Q26*('Jerarq. Riesgos Plazo'!$M$67+1)</f>
        <v>13.7747933487246</v>
      </c>
      <c r="S26" s="34">
        <f>+T26*(-'Jerarq. Riesgos Costos'!$P$78+1)</f>
        <v>81000000</v>
      </c>
      <c r="T26" s="203">
        <f t="shared" si="15"/>
        <v>90000000</v>
      </c>
      <c r="U26" s="34">
        <f>+T26*('Jerarq. Riesgos Costos'!$Q$78+1)</f>
        <v>113846631.81073339</v>
      </c>
      <c r="V26" s="29"/>
      <c r="W26" s="4">
        <v>10</v>
      </c>
      <c r="X26" s="202"/>
      <c r="Y26" s="29"/>
      <c r="Z26" s="4"/>
      <c r="AA26" s="30"/>
      <c r="AB26" s="29"/>
      <c r="AC26" s="4">
        <v>10</v>
      </c>
      <c r="AD26" s="202"/>
      <c r="AE26" s="29"/>
      <c r="AF26" s="4"/>
      <c r="AG26" s="30"/>
    </row>
    <row r="27" spans="2:37" ht="18" x14ac:dyDescent="0.25">
      <c r="B27" s="337" t="s">
        <v>796</v>
      </c>
      <c r="C27" s="251" t="s">
        <v>454</v>
      </c>
      <c r="D27" s="252" t="s">
        <v>802</v>
      </c>
      <c r="E27" s="253"/>
      <c r="F27" s="254"/>
      <c r="G27" s="261">
        <f>+SUM(G28:G38)</f>
        <v>23.2</v>
      </c>
      <c r="H27" s="255"/>
      <c r="I27" s="262">
        <f t="shared" ref="I27:O27" si="16">+SUM(I28:I38)</f>
        <v>86399280</v>
      </c>
      <c r="J27" s="257">
        <f t="shared" si="16"/>
        <v>21.5</v>
      </c>
      <c r="K27" s="261">
        <f t="shared" si="16"/>
        <v>23.2</v>
      </c>
      <c r="L27" s="256">
        <f t="shared" si="16"/>
        <v>25.973256075872143</v>
      </c>
      <c r="M27" s="260">
        <f t="shared" si="16"/>
        <v>77759352</v>
      </c>
      <c r="N27" s="261">
        <f t="shared" si="16"/>
        <v>86399280</v>
      </c>
      <c r="O27" s="262">
        <f t="shared" si="16"/>
        <v>107890292.5413124</v>
      </c>
      <c r="P27" s="260">
        <v>22</v>
      </c>
      <c r="Q27" s="261">
        <f t="shared" si="3"/>
        <v>23.2</v>
      </c>
      <c r="R27" s="262">
        <f>+Q27*('Jerarq. Riesgos Plazo'!$M$67+1)</f>
        <v>31.957520569041073</v>
      </c>
      <c r="S27" s="260">
        <f>+SUM(S28:S38)</f>
        <v>69119424</v>
      </c>
      <c r="T27" s="261">
        <f>+SUM(T28:T38)</f>
        <v>86399280</v>
      </c>
      <c r="U27" s="262">
        <f>+SUM(U28:U38)</f>
        <v>114475812.56524956</v>
      </c>
      <c r="V27" s="260">
        <v>20</v>
      </c>
      <c r="W27" s="261">
        <f>+SUM(W28:W38)</f>
        <v>23.2</v>
      </c>
      <c r="X27" s="256">
        <f>+W27*('Jerarq. Riesgos Plazo'!$M$65/100+1)</f>
        <v>23.227732560758721</v>
      </c>
      <c r="Y27" s="260"/>
      <c r="Z27" s="261"/>
      <c r="AA27" s="262"/>
      <c r="AB27" s="260">
        <v>20</v>
      </c>
      <c r="AC27" s="261">
        <f>+SUM(AC28:AC38)</f>
        <v>23.2</v>
      </c>
      <c r="AD27" s="256">
        <f>+AC27*('Jerarq. Riesgos Plazo'!$M$65/100+1)</f>
        <v>23.227732560758721</v>
      </c>
      <c r="AE27" s="260"/>
      <c r="AF27" s="261"/>
      <c r="AG27" s="262"/>
    </row>
    <row r="28" spans="2:37" ht="18" hidden="1" x14ac:dyDescent="0.25">
      <c r="B28" s="335" t="s">
        <v>413</v>
      </c>
      <c r="C28" s="115" t="s">
        <v>632</v>
      </c>
      <c r="D28" s="112" t="s">
        <v>415</v>
      </c>
      <c r="E28" s="113" t="s">
        <v>416</v>
      </c>
      <c r="F28" s="113">
        <v>2</v>
      </c>
      <c r="G28" s="265">
        <v>1.2</v>
      </c>
      <c r="H28" s="114">
        <v>360000</v>
      </c>
      <c r="I28" s="325">
        <f t="shared" ref="I28:I91" si="17">+F28*H28</f>
        <v>720000</v>
      </c>
      <c r="J28" s="29">
        <v>1</v>
      </c>
      <c r="K28" s="4">
        <v>1.2</v>
      </c>
      <c r="L28" s="290">
        <f>+K28*('Jerarq. Riesgos Plazo'!$M$65+1)</f>
        <v>1.3434442797864901</v>
      </c>
      <c r="M28" s="64">
        <f>+N28*(-'Jerarq. Riesgos Costos'!$J$71+1)</f>
        <v>648000</v>
      </c>
      <c r="N28" s="203">
        <f>+I28</f>
        <v>720000</v>
      </c>
      <c r="O28" s="49">
        <f>+N28*('Jerarq. Riesgos Costos'!$K$78+1)</f>
        <v>899093.26362146682</v>
      </c>
      <c r="P28" s="29"/>
      <c r="Q28" s="4">
        <f t="shared" si="3"/>
        <v>1.2</v>
      </c>
      <c r="R28" s="264">
        <f>+Q28*('Jerarq. Riesgos Plazo'!$M$67+1)</f>
        <v>1.6529752018469521</v>
      </c>
      <c r="S28" s="34">
        <f>+T28*(-'Jerarq. Riesgos Costos'!$P$74+1)</f>
        <v>576000</v>
      </c>
      <c r="T28" s="203">
        <f t="shared" ref="T28:T91" si="18">+N28</f>
        <v>720000</v>
      </c>
      <c r="U28" s="34">
        <f>+T28*('Jerarq. Riesgos Costos'!$Q$74+1)</f>
        <v>953973.05448586703</v>
      </c>
      <c r="V28" s="29"/>
      <c r="W28" s="4">
        <v>1.2</v>
      </c>
      <c r="X28" s="256">
        <f>+W28*('Jerarq. Riesgos Plazo'!$M$65/100+1)</f>
        <v>1.2014344427978647</v>
      </c>
      <c r="Y28" s="29"/>
      <c r="Z28" s="4"/>
      <c r="AA28" s="30"/>
      <c r="AB28" s="29"/>
      <c r="AC28" s="4">
        <v>1.2</v>
      </c>
      <c r="AD28" s="256">
        <f>+AC28*('Jerarq. Riesgos Plazo'!$M$65/100+1)</f>
        <v>1.2014344427978647</v>
      </c>
      <c r="AE28" s="29"/>
      <c r="AF28" s="4"/>
      <c r="AG28" s="30"/>
    </row>
    <row r="29" spans="2:37" ht="18" hidden="1" x14ac:dyDescent="0.25">
      <c r="B29" s="335" t="s">
        <v>413</v>
      </c>
      <c r="C29" s="115" t="s">
        <v>633</v>
      </c>
      <c r="D29" s="112" t="s">
        <v>418</v>
      </c>
      <c r="E29" s="113" t="s">
        <v>416</v>
      </c>
      <c r="F29" s="113">
        <v>20</v>
      </c>
      <c r="G29" s="265">
        <v>1</v>
      </c>
      <c r="H29" s="114">
        <v>360000</v>
      </c>
      <c r="I29" s="325">
        <f t="shared" si="17"/>
        <v>7200000</v>
      </c>
      <c r="J29" s="29">
        <v>1</v>
      </c>
      <c r="K29" s="4">
        <v>1</v>
      </c>
      <c r="L29" s="290">
        <f>+K29*('Jerarq. Riesgos Plazo'!$M$65+1)</f>
        <v>1.1195368998220752</v>
      </c>
      <c r="M29" s="64">
        <f>+N29*(-'Jerarq. Riesgos Costos'!$J$71+1)</f>
        <v>6480000</v>
      </c>
      <c r="N29" s="203">
        <f t="shared" ref="N29:N92" si="19">+I29</f>
        <v>7200000</v>
      </c>
      <c r="O29" s="49">
        <f>+N29*('Jerarq. Riesgos Costos'!$K$78+1)</f>
        <v>8990932.6362146679</v>
      </c>
      <c r="P29" s="29"/>
      <c r="Q29" s="4">
        <f t="shared" si="3"/>
        <v>1</v>
      </c>
      <c r="R29" s="264">
        <f>+Q29*('Jerarq. Riesgos Plazo'!$M$67+1)</f>
        <v>1.3774793348724601</v>
      </c>
      <c r="S29" s="34">
        <f>+T29*(-'Jerarq. Riesgos Costos'!$P$74+1)</f>
        <v>5760000</v>
      </c>
      <c r="T29" s="203">
        <f t="shared" si="18"/>
        <v>7200000</v>
      </c>
      <c r="U29" s="34">
        <f>+T29*('Jerarq. Riesgos Costos'!$Q$74+1)</f>
        <v>9539730.5448586699</v>
      </c>
      <c r="V29" s="29"/>
      <c r="W29" s="4">
        <v>1</v>
      </c>
      <c r="X29" s="256">
        <f>+W29*('Jerarq. Riesgos Plazo'!$M$65/100+1)</f>
        <v>1.0011953689982207</v>
      </c>
      <c r="Y29" s="29"/>
      <c r="Z29" s="4"/>
      <c r="AA29" s="30"/>
      <c r="AB29" s="29"/>
      <c r="AC29" s="4">
        <v>1</v>
      </c>
      <c r="AD29" s="256">
        <f>+AC29*('Jerarq. Riesgos Plazo'!$M$65/100+1)</f>
        <v>1.0011953689982207</v>
      </c>
      <c r="AE29" s="29"/>
      <c r="AF29" s="4"/>
      <c r="AG29" s="30"/>
    </row>
    <row r="30" spans="2:37" ht="18" hidden="1" x14ac:dyDescent="0.25">
      <c r="B30" s="335" t="s">
        <v>413</v>
      </c>
      <c r="C30" s="115" t="s">
        <v>634</v>
      </c>
      <c r="D30" s="112" t="s">
        <v>420</v>
      </c>
      <c r="E30" s="113" t="s">
        <v>416</v>
      </c>
      <c r="F30" s="113">
        <v>1</v>
      </c>
      <c r="G30" s="265">
        <v>1</v>
      </c>
      <c r="H30" s="114">
        <v>360000</v>
      </c>
      <c r="I30" s="325">
        <f t="shared" si="17"/>
        <v>360000</v>
      </c>
      <c r="J30" s="29">
        <v>1</v>
      </c>
      <c r="K30" s="4">
        <v>1</v>
      </c>
      <c r="L30" s="290">
        <f>+K30*('Jerarq. Riesgos Plazo'!$M$65+1)</f>
        <v>1.1195368998220752</v>
      </c>
      <c r="M30" s="64">
        <f>+N30*(-'Jerarq. Riesgos Costos'!$J$71+1)</f>
        <v>324000</v>
      </c>
      <c r="N30" s="203">
        <f t="shared" si="19"/>
        <v>360000</v>
      </c>
      <c r="O30" s="49">
        <f>+N30*('Jerarq. Riesgos Costos'!$K$78+1)</f>
        <v>449546.63181073341</v>
      </c>
      <c r="P30" s="29"/>
      <c r="Q30" s="4">
        <f t="shared" si="3"/>
        <v>1</v>
      </c>
      <c r="R30" s="264">
        <f>+Q30*('Jerarq. Riesgos Plazo'!$M$67+1)</f>
        <v>1.3774793348724601</v>
      </c>
      <c r="S30" s="34">
        <f>+T30*(-'Jerarq. Riesgos Costos'!$P$74+1)</f>
        <v>288000</v>
      </c>
      <c r="T30" s="203">
        <f t="shared" si="18"/>
        <v>360000</v>
      </c>
      <c r="U30" s="34">
        <f>+T30*('Jerarq. Riesgos Costos'!$Q$74+1)</f>
        <v>476986.52724293352</v>
      </c>
      <c r="V30" s="29"/>
      <c r="W30" s="4">
        <v>1</v>
      </c>
      <c r="X30" s="256">
        <f>+W30*('Jerarq. Riesgos Plazo'!$M$65/100+1)</f>
        <v>1.0011953689982207</v>
      </c>
      <c r="Y30" s="29"/>
      <c r="Z30" s="4"/>
      <c r="AA30" s="30"/>
      <c r="AB30" s="29"/>
      <c r="AC30" s="4">
        <v>1</v>
      </c>
      <c r="AD30" s="256">
        <f>+AC30*('Jerarq. Riesgos Plazo'!$M$65/100+1)</f>
        <v>1.0011953689982207</v>
      </c>
      <c r="AE30" s="29"/>
      <c r="AF30" s="4"/>
      <c r="AG30" s="30"/>
    </row>
    <row r="31" spans="2:37" ht="18" hidden="1" x14ac:dyDescent="0.25">
      <c r="B31" s="335" t="s">
        <v>413</v>
      </c>
      <c r="C31" s="115" t="s">
        <v>635</v>
      </c>
      <c r="D31" s="112" t="s">
        <v>422</v>
      </c>
      <c r="E31" s="113" t="s">
        <v>416</v>
      </c>
      <c r="F31" s="113">
        <v>23</v>
      </c>
      <c r="G31" s="265">
        <v>2</v>
      </c>
      <c r="H31" s="114">
        <v>26085</v>
      </c>
      <c r="I31" s="325">
        <f t="shared" si="17"/>
        <v>599955</v>
      </c>
      <c r="J31" s="29">
        <v>1.8</v>
      </c>
      <c r="K31" s="4">
        <v>2</v>
      </c>
      <c r="L31" s="290">
        <f>+K31*('Jerarq. Riesgos Plazo'!$M$65+1)</f>
        <v>2.2390737996441503</v>
      </c>
      <c r="M31" s="64">
        <f>+N31*(-'Jerarq. Riesgos Costos'!$J$71+1)</f>
        <v>539959.5</v>
      </c>
      <c r="N31" s="203">
        <f t="shared" si="19"/>
        <v>599955</v>
      </c>
      <c r="O31" s="49">
        <f>+N31*('Jerarq. Riesgos Costos'!$K$78+1)</f>
        <v>749188.19302224601</v>
      </c>
      <c r="P31" s="29"/>
      <c r="Q31" s="4">
        <f t="shared" si="3"/>
        <v>2</v>
      </c>
      <c r="R31" s="264">
        <f>+Q31*('Jerarq. Riesgos Plazo'!$M$67+1)</f>
        <v>2.7549586697449202</v>
      </c>
      <c r="S31" s="34">
        <f>+T31*(-'Jerarq. Riesgos Costos'!$P$74+1)</f>
        <v>479964</v>
      </c>
      <c r="T31" s="203">
        <f t="shared" si="18"/>
        <v>599955</v>
      </c>
      <c r="U31" s="34">
        <f>+T31*('Jerarq. Riesgos Costos'!$Q$74+1)</f>
        <v>794917.92208898382</v>
      </c>
      <c r="V31" s="29"/>
      <c r="W31" s="4">
        <v>2</v>
      </c>
      <c r="X31" s="256">
        <f>+W31*('Jerarq. Riesgos Plazo'!$M$65/100+1)</f>
        <v>2.0023907379964414</v>
      </c>
      <c r="Y31" s="29"/>
      <c r="Z31" s="4"/>
      <c r="AA31" s="30"/>
      <c r="AB31" s="29"/>
      <c r="AC31" s="4">
        <v>2</v>
      </c>
      <c r="AD31" s="256">
        <f>+AC31*('Jerarq. Riesgos Plazo'!$M$65/100+1)</f>
        <v>2.0023907379964414</v>
      </c>
      <c r="AE31" s="29"/>
      <c r="AF31" s="4"/>
      <c r="AG31" s="30"/>
    </row>
    <row r="32" spans="2:37" ht="18" hidden="1" x14ac:dyDescent="0.25">
      <c r="B32" s="335" t="s">
        <v>413</v>
      </c>
      <c r="C32" s="115" t="s">
        <v>636</v>
      </c>
      <c r="D32" s="112" t="s">
        <v>424</v>
      </c>
      <c r="E32" s="113" t="s">
        <v>416</v>
      </c>
      <c r="F32" s="113">
        <v>157</v>
      </c>
      <c r="G32" s="265">
        <v>3</v>
      </c>
      <c r="H32" s="114">
        <v>25000</v>
      </c>
      <c r="I32" s="325">
        <f t="shared" si="17"/>
        <v>3925000</v>
      </c>
      <c r="J32" s="29">
        <v>2.8</v>
      </c>
      <c r="K32" s="4">
        <v>3</v>
      </c>
      <c r="L32" s="290">
        <f>+K32*('Jerarq. Riesgos Plazo'!$M$65+1)</f>
        <v>3.3586106994662255</v>
      </c>
      <c r="M32" s="64">
        <f>+N32*(-'Jerarq. Riesgos Costos'!$J$71+1)</f>
        <v>3532500</v>
      </c>
      <c r="N32" s="203">
        <f t="shared" si="19"/>
        <v>3925000</v>
      </c>
      <c r="O32" s="49">
        <f>+N32*('Jerarq. Riesgos Costos'!$K$78+1)</f>
        <v>4901307.0273809126</v>
      </c>
      <c r="P32" s="29"/>
      <c r="Q32" s="4">
        <f t="shared" si="3"/>
        <v>3</v>
      </c>
      <c r="R32" s="264">
        <f>+Q32*('Jerarq. Riesgos Plazo'!$M$67+1)</f>
        <v>4.1324380046173808</v>
      </c>
      <c r="S32" s="34">
        <f>+T32*(-'Jerarq. Riesgos Costos'!$P$74+1)</f>
        <v>3140000</v>
      </c>
      <c r="T32" s="203">
        <f t="shared" si="18"/>
        <v>3925000</v>
      </c>
      <c r="U32" s="34">
        <f>+T32*('Jerarq. Riesgos Costos'!$Q$74+1)</f>
        <v>5200478.1095236503</v>
      </c>
      <c r="V32" s="29"/>
      <c r="W32" s="4">
        <v>3</v>
      </c>
      <c r="X32" s="256">
        <f>+W32*('Jerarq. Riesgos Plazo'!$M$65/100+1)</f>
        <v>3.0035861069946623</v>
      </c>
      <c r="Y32" s="29"/>
      <c r="Z32" s="4"/>
      <c r="AA32" s="30"/>
      <c r="AB32" s="29"/>
      <c r="AC32" s="4">
        <v>3</v>
      </c>
      <c r="AD32" s="256">
        <f>+AC32*('Jerarq. Riesgos Plazo'!$M$65/100+1)</f>
        <v>3.0035861069946623</v>
      </c>
      <c r="AE32" s="29"/>
      <c r="AF32" s="4"/>
      <c r="AG32" s="30"/>
    </row>
    <row r="33" spans="2:33" ht="18" hidden="1" x14ac:dyDescent="0.25">
      <c r="B33" s="335" t="s">
        <v>413</v>
      </c>
      <c r="C33" s="115" t="s">
        <v>637</v>
      </c>
      <c r="D33" s="112" t="s">
        <v>426</v>
      </c>
      <c r="E33" s="113" t="s">
        <v>416</v>
      </c>
      <c r="F33" s="113">
        <v>30</v>
      </c>
      <c r="G33" s="265">
        <v>3</v>
      </c>
      <c r="H33" s="114">
        <v>17000</v>
      </c>
      <c r="I33" s="325">
        <f t="shared" si="17"/>
        <v>510000</v>
      </c>
      <c r="J33" s="29">
        <v>2.8</v>
      </c>
      <c r="K33" s="4">
        <v>3</v>
      </c>
      <c r="L33" s="290">
        <f>+K33*('Jerarq. Riesgos Plazo'!$M$65+1)</f>
        <v>3.3586106994662255</v>
      </c>
      <c r="M33" s="64">
        <f>+N33*(-'Jerarq. Riesgos Costos'!$J$71+1)</f>
        <v>459000</v>
      </c>
      <c r="N33" s="203">
        <f t="shared" si="19"/>
        <v>510000</v>
      </c>
      <c r="O33" s="49">
        <f>+N33*('Jerarq. Riesgos Costos'!$K$78+1)</f>
        <v>636857.72839853901</v>
      </c>
      <c r="P33" s="29"/>
      <c r="Q33" s="4">
        <f t="shared" si="3"/>
        <v>3</v>
      </c>
      <c r="R33" s="264">
        <f>+Q33*('Jerarq. Riesgos Plazo'!$M$67+1)</f>
        <v>4.1324380046173808</v>
      </c>
      <c r="S33" s="34">
        <f>+T33*(-'Jerarq. Riesgos Costos'!$P$74+1)</f>
        <v>408000</v>
      </c>
      <c r="T33" s="203">
        <f t="shared" si="18"/>
        <v>510000</v>
      </c>
      <c r="U33" s="34">
        <f>+T33*('Jerarq. Riesgos Costos'!$Q$74+1)</f>
        <v>675730.91359415581</v>
      </c>
      <c r="V33" s="29"/>
      <c r="W33" s="4">
        <v>3</v>
      </c>
      <c r="X33" s="256">
        <f>+W33*('Jerarq. Riesgos Plazo'!$M$65/100+1)</f>
        <v>3.0035861069946623</v>
      </c>
      <c r="Y33" s="29"/>
      <c r="Z33" s="4"/>
      <c r="AA33" s="30"/>
      <c r="AB33" s="29"/>
      <c r="AC33" s="4">
        <v>3</v>
      </c>
      <c r="AD33" s="256">
        <f>+AC33*('Jerarq. Riesgos Plazo'!$M$65/100+1)</f>
        <v>3.0035861069946623</v>
      </c>
      <c r="AE33" s="29"/>
      <c r="AF33" s="4"/>
      <c r="AG33" s="30"/>
    </row>
    <row r="34" spans="2:33" ht="18" hidden="1" x14ac:dyDescent="0.25">
      <c r="B34" s="335" t="s">
        <v>413</v>
      </c>
      <c r="C34" s="115" t="s">
        <v>638</v>
      </c>
      <c r="D34" s="112" t="s">
        <v>428</v>
      </c>
      <c r="E34" s="113" t="s">
        <v>429</v>
      </c>
      <c r="F34" s="113">
        <v>6000</v>
      </c>
      <c r="G34" s="265">
        <v>2</v>
      </c>
      <c r="H34" s="114">
        <v>3100</v>
      </c>
      <c r="I34" s="325">
        <f t="shared" si="17"/>
        <v>18600000</v>
      </c>
      <c r="J34" s="29">
        <v>1.8</v>
      </c>
      <c r="K34" s="4">
        <v>2</v>
      </c>
      <c r="L34" s="290">
        <f>+K34*('Jerarq. Riesgos Plazo'!$M$65+1)</f>
        <v>2.2390737996441503</v>
      </c>
      <c r="M34" s="64">
        <f>+N34*(-'Jerarq. Riesgos Costos'!$J$71+1)</f>
        <v>16740000</v>
      </c>
      <c r="N34" s="203">
        <f t="shared" si="19"/>
        <v>18600000</v>
      </c>
      <c r="O34" s="49">
        <f>+N34*('Jerarq. Riesgos Costos'!$K$78+1)</f>
        <v>23226575.976887893</v>
      </c>
      <c r="P34" s="29"/>
      <c r="Q34" s="4">
        <f t="shared" si="3"/>
        <v>2</v>
      </c>
      <c r="R34" s="264">
        <f>+Q34*('Jerarq. Riesgos Plazo'!$M$67+1)</f>
        <v>2.7549586697449202</v>
      </c>
      <c r="S34" s="34">
        <f>+T34*(-'Jerarq. Riesgos Costos'!$P$74+1)</f>
        <v>14880000</v>
      </c>
      <c r="T34" s="203">
        <f t="shared" si="18"/>
        <v>18600000</v>
      </c>
      <c r="U34" s="34">
        <f>+T34*('Jerarq. Riesgos Costos'!$Q$74+1)</f>
        <v>24644303.907551564</v>
      </c>
      <c r="V34" s="29"/>
      <c r="W34" s="4">
        <v>2</v>
      </c>
      <c r="X34" s="256">
        <f>+W34*('Jerarq. Riesgos Plazo'!$M$65/100+1)</f>
        <v>2.0023907379964414</v>
      </c>
      <c r="Y34" s="29"/>
      <c r="Z34" s="4"/>
      <c r="AA34" s="30"/>
      <c r="AB34" s="29"/>
      <c r="AC34" s="4">
        <v>2</v>
      </c>
      <c r="AD34" s="256">
        <f>+AC34*('Jerarq. Riesgos Plazo'!$M$65/100+1)</f>
        <v>2.0023907379964414</v>
      </c>
      <c r="AE34" s="29"/>
      <c r="AF34" s="4"/>
      <c r="AG34" s="30"/>
    </row>
    <row r="35" spans="2:33" ht="18" hidden="1" x14ac:dyDescent="0.25">
      <c r="B35" s="335" t="s">
        <v>413</v>
      </c>
      <c r="C35" s="115" t="s">
        <v>639</v>
      </c>
      <c r="D35" s="112" t="s">
        <v>430</v>
      </c>
      <c r="E35" s="113" t="s">
        <v>416</v>
      </c>
      <c r="F35" s="113">
        <v>70</v>
      </c>
      <c r="G35" s="265">
        <v>3</v>
      </c>
      <c r="H35" s="114">
        <v>650000</v>
      </c>
      <c r="I35" s="325">
        <f t="shared" si="17"/>
        <v>45500000</v>
      </c>
      <c r="J35" s="29">
        <v>2.8</v>
      </c>
      <c r="K35" s="4">
        <v>3</v>
      </c>
      <c r="L35" s="290">
        <f>+K35*('Jerarq. Riesgos Plazo'!$M$65+1)</f>
        <v>3.3586106994662255</v>
      </c>
      <c r="M35" s="64">
        <f>+N35*(-'Jerarq. Riesgos Costos'!$J$71+1)</f>
        <v>40950000</v>
      </c>
      <c r="N35" s="203">
        <f t="shared" si="19"/>
        <v>45500000</v>
      </c>
      <c r="O35" s="49">
        <f>+N35*('Jerarq. Riesgos Costos'!$K$78+1)</f>
        <v>56817699.298301026</v>
      </c>
      <c r="P35" s="29"/>
      <c r="Q35" s="4">
        <f t="shared" si="3"/>
        <v>3</v>
      </c>
      <c r="R35" s="264">
        <f>+Q35*('Jerarq. Riesgos Plazo'!$M$67+1)</f>
        <v>4.1324380046173808</v>
      </c>
      <c r="S35" s="34">
        <f>+T35*(-'Jerarq. Riesgos Costos'!$P$74+1)</f>
        <v>36400000</v>
      </c>
      <c r="T35" s="203">
        <f t="shared" si="18"/>
        <v>45500000</v>
      </c>
      <c r="U35" s="34">
        <f>+T35*('Jerarq. Riesgos Costos'!$Q$74+1)</f>
        <v>60285797.193204097</v>
      </c>
      <c r="V35" s="29"/>
      <c r="W35" s="4">
        <v>3</v>
      </c>
      <c r="X35" s="256">
        <f>+W35*('Jerarq. Riesgos Plazo'!$M$65/100+1)</f>
        <v>3.0035861069946623</v>
      </c>
      <c r="Y35" s="29"/>
      <c r="Z35" s="4"/>
      <c r="AA35" s="30"/>
      <c r="AB35" s="29"/>
      <c r="AC35" s="4">
        <v>3</v>
      </c>
      <c r="AD35" s="256">
        <f>+AC35*('Jerarq. Riesgos Plazo'!$M$65/100+1)</f>
        <v>3.0035861069946623</v>
      </c>
      <c r="AE35" s="29"/>
      <c r="AF35" s="4"/>
      <c r="AG35" s="30"/>
    </row>
    <row r="36" spans="2:33" ht="18" hidden="1" x14ac:dyDescent="0.25">
      <c r="B36" s="335" t="s">
        <v>413</v>
      </c>
      <c r="C36" s="115" t="s">
        <v>640</v>
      </c>
      <c r="D36" s="112" t="s">
        <v>431</v>
      </c>
      <c r="E36" s="113" t="s">
        <v>416</v>
      </c>
      <c r="F36" s="113">
        <v>7</v>
      </c>
      <c r="G36" s="265">
        <v>2</v>
      </c>
      <c r="H36" s="114">
        <v>260000</v>
      </c>
      <c r="I36" s="325">
        <f t="shared" si="17"/>
        <v>1820000</v>
      </c>
      <c r="J36" s="29">
        <v>1.8</v>
      </c>
      <c r="K36" s="4">
        <v>2</v>
      </c>
      <c r="L36" s="290">
        <f>+K36*('Jerarq. Riesgos Plazo'!$M$65+1)</f>
        <v>2.2390737996441503</v>
      </c>
      <c r="M36" s="64">
        <f>+N36*(-'Jerarq. Riesgos Costos'!$J$71+1)</f>
        <v>1638000</v>
      </c>
      <c r="N36" s="203">
        <f t="shared" si="19"/>
        <v>1820000</v>
      </c>
      <c r="O36" s="49">
        <f>+N36*('Jerarq. Riesgos Costos'!$K$78+1)</f>
        <v>2272707.971932041</v>
      </c>
      <c r="P36" s="29"/>
      <c r="Q36" s="4">
        <f t="shared" si="3"/>
        <v>2</v>
      </c>
      <c r="R36" s="264">
        <f>+Q36*('Jerarq. Riesgos Plazo'!$M$67+1)</f>
        <v>2.7549586697449202</v>
      </c>
      <c r="S36" s="34">
        <f>+T36*(-'Jerarq. Riesgos Costos'!$P$74+1)</f>
        <v>1456000</v>
      </c>
      <c r="T36" s="203">
        <f t="shared" si="18"/>
        <v>1820000</v>
      </c>
      <c r="U36" s="34">
        <f>+T36*('Jerarq. Riesgos Costos'!$Q$74+1)</f>
        <v>2411431.887728164</v>
      </c>
      <c r="V36" s="29"/>
      <c r="W36" s="4">
        <v>2</v>
      </c>
      <c r="X36" s="256">
        <f>+W36*('Jerarq. Riesgos Plazo'!$M$65/100+1)</f>
        <v>2.0023907379964414</v>
      </c>
      <c r="Y36" s="29"/>
      <c r="Z36" s="4"/>
      <c r="AA36" s="30"/>
      <c r="AB36" s="29"/>
      <c r="AC36" s="4">
        <v>2</v>
      </c>
      <c r="AD36" s="256">
        <f>+AC36*('Jerarq. Riesgos Plazo'!$M$65/100+1)</f>
        <v>2.0023907379964414</v>
      </c>
      <c r="AE36" s="29"/>
      <c r="AF36" s="4"/>
      <c r="AG36" s="30"/>
    </row>
    <row r="37" spans="2:33" ht="18" hidden="1" x14ac:dyDescent="0.25">
      <c r="B37" s="335" t="s">
        <v>413</v>
      </c>
      <c r="C37" s="115" t="s">
        <v>641</v>
      </c>
      <c r="D37" s="112" t="s">
        <v>432</v>
      </c>
      <c r="E37" s="113" t="s">
        <v>416</v>
      </c>
      <c r="F37" s="113">
        <v>12.5</v>
      </c>
      <c r="G37" s="265">
        <v>3</v>
      </c>
      <c r="H37" s="114">
        <v>27146</v>
      </c>
      <c r="I37" s="325">
        <f t="shared" si="17"/>
        <v>339325</v>
      </c>
      <c r="J37" s="29">
        <v>2.8</v>
      </c>
      <c r="K37" s="4">
        <v>3</v>
      </c>
      <c r="L37" s="290">
        <f>+K37*('Jerarq. Riesgos Plazo'!$M$65+1)</f>
        <v>3.3586106994662255</v>
      </c>
      <c r="M37" s="64">
        <f>+N37*(-'Jerarq. Riesgos Costos'!$J$71+1)</f>
        <v>305392.5</v>
      </c>
      <c r="N37" s="203">
        <f t="shared" si="19"/>
        <v>339325</v>
      </c>
      <c r="O37" s="49">
        <f>+N37*('Jerarq. Riesgos Costos'!$K$78+1)</f>
        <v>423728.91899771418</v>
      </c>
      <c r="P37" s="29"/>
      <c r="Q37" s="4">
        <f t="shared" si="3"/>
        <v>3</v>
      </c>
      <c r="R37" s="264">
        <f>+Q37*('Jerarq. Riesgos Plazo'!$M$67+1)</f>
        <v>4.1324380046173808</v>
      </c>
      <c r="S37" s="34">
        <f>+T37*(-'Jerarq. Riesgos Costos'!$P$74+1)</f>
        <v>271460</v>
      </c>
      <c r="T37" s="203">
        <f t="shared" si="18"/>
        <v>339325</v>
      </c>
      <c r="U37" s="34">
        <f>+T37*('Jerarq. Riesgos Costos'!$Q$74+1)</f>
        <v>449592.92599085672</v>
      </c>
      <c r="V37" s="29"/>
      <c r="W37" s="4">
        <v>3</v>
      </c>
      <c r="X37" s="256">
        <f>+W37*('Jerarq. Riesgos Plazo'!$M$65/100+1)</f>
        <v>3.0035861069946623</v>
      </c>
      <c r="Y37" s="29"/>
      <c r="Z37" s="4"/>
      <c r="AA37" s="30"/>
      <c r="AB37" s="29"/>
      <c r="AC37" s="4">
        <v>3</v>
      </c>
      <c r="AD37" s="256">
        <f>+AC37*('Jerarq. Riesgos Plazo'!$M$65/100+1)</f>
        <v>3.0035861069946623</v>
      </c>
      <c r="AE37" s="29"/>
      <c r="AF37" s="4"/>
      <c r="AG37" s="30"/>
    </row>
    <row r="38" spans="2:33" ht="18" hidden="1" x14ac:dyDescent="0.25">
      <c r="B38" s="335" t="s">
        <v>413</v>
      </c>
      <c r="C38" s="115" t="s">
        <v>642</v>
      </c>
      <c r="D38" s="112" t="s">
        <v>433</v>
      </c>
      <c r="E38" s="113" t="s">
        <v>416</v>
      </c>
      <c r="F38" s="113">
        <v>10.5</v>
      </c>
      <c r="G38" s="265">
        <v>2</v>
      </c>
      <c r="H38" s="114">
        <v>650000</v>
      </c>
      <c r="I38" s="325">
        <f t="shared" si="17"/>
        <v>6825000</v>
      </c>
      <c r="J38" s="29">
        <v>1.9</v>
      </c>
      <c r="K38" s="4">
        <v>2</v>
      </c>
      <c r="L38" s="290">
        <f>+K38*('Jerarq. Riesgos Plazo'!$M$65+1)</f>
        <v>2.2390737996441503</v>
      </c>
      <c r="M38" s="64">
        <f>+N38*(-'Jerarq. Riesgos Costos'!$J$71+1)</f>
        <v>6142500</v>
      </c>
      <c r="N38" s="203">
        <f t="shared" si="19"/>
        <v>6825000</v>
      </c>
      <c r="O38" s="49">
        <f>+N38*('Jerarq. Riesgos Costos'!$K$78+1)</f>
        <v>8522654.8947451543</v>
      </c>
      <c r="P38" s="29"/>
      <c r="Q38" s="4">
        <f t="shared" si="3"/>
        <v>2</v>
      </c>
      <c r="R38" s="264">
        <f>+Q38*('Jerarq. Riesgos Plazo'!$M$67+1)</f>
        <v>2.7549586697449202</v>
      </c>
      <c r="S38" s="34">
        <f>+T38*(-'Jerarq. Riesgos Costos'!$P$74+1)</f>
        <v>5460000</v>
      </c>
      <c r="T38" s="203">
        <f t="shared" si="18"/>
        <v>6825000</v>
      </c>
      <c r="U38" s="34">
        <f>+T38*('Jerarq. Riesgos Costos'!$Q$74+1)</f>
        <v>9042869.5789806154</v>
      </c>
      <c r="V38" s="29"/>
      <c r="W38" s="4">
        <v>2</v>
      </c>
      <c r="X38" s="256">
        <f>+W38*('Jerarq. Riesgos Plazo'!$M$65/100+1)</f>
        <v>2.0023907379964414</v>
      </c>
      <c r="Y38" s="29"/>
      <c r="Z38" s="4"/>
      <c r="AA38" s="30"/>
      <c r="AB38" s="29"/>
      <c r="AC38" s="4">
        <v>2</v>
      </c>
      <c r="AD38" s="256">
        <f>+AC38*('Jerarq. Riesgos Plazo'!$M$65/100+1)</f>
        <v>2.0023907379964414</v>
      </c>
      <c r="AE38" s="29"/>
      <c r="AF38" s="4"/>
      <c r="AG38" s="30"/>
    </row>
    <row r="39" spans="2:33" ht="18" x14ac:dyDescent="0.25">
      <c r="B39" s="337" t="s">
        <v>797</v>
      </c>
      <c r="C39" s="251" t="s">
        <v>456</v>
      </c>
      <c r="D39" s="252" t="s">
        <v>673</v>
      </c>
      <c r="E39" s="253"/>
      <c r="F39" s="254"/>
      <c r="G39" s="261">
        <f>+SUM(G40:G48)</f>
        <v>8.3000000000000007</v>
      </c>
      <c r="H39" s="255"/>
      <c r="I39" s="262">
        <f>+SUM(I40:I48)</f>
        <v>62823214.939990401</v>
      </c>
      <c r="J39" s="260">
        <v>7</v>
      </c>
      <c r="K39" s="261">
        <f>+SUM(K40:K48)</f>
        <v>8.3000000000000007</v>
      </c>
      <c r="L39" s="256">
        <f>+SUM(L40:L48)</f>
        <v>9.2921562685232235</v>
      </c>
      <c r="M39" s="260">
        <f>+SUM(M40:M48)</f>
        <v>56540893.44599136</v>
      </c>
      <c r="N39" s="261">
        <f>+SUM(N40:N48)</f>
        <v>62823214.939990401</v>
      </c>
      <c r="O39" s="262">
        <f>+SUM(O40:O48)</f>
        <v>78449901.877206743</v>
      </c>
      <c r="P39" s="260">
        <v>7</v>
      </c>
      <c r="Q39" s="261">
        <f t="shared" si="3"/>
        <v>8.3000000000000007</v>
      </c>
      <c r="R39" s="262">
        <f>+Q39*('Jerarq. Riesgos Plazo'!$M$67+1)</f>
        <v>11.43307847944142</v>
      </c>
      <c r="S39" s="260">
        <f>+SUM(S40:S48)</f>
        <v>56540893.44599136</v>
      </c>
      <c r="T39" s="261">
        <f>+SUM(T40:T48)</f>
        <v>62823214.939990401</v>
      </c>
      <c r="U39" s="262">
        <f>+SUM(U40:U48)</f>
        <v>79469015.782662794</v>
      </c>
      <c r="V39" s="260">
        <v>7</v>
      </c>
      <c r="W39" s="261">
        <f>+SUM(W40:W48)</f>
        <v>8.3000000000000007</v>
      </c>
      <c r="X39" s="256">
        <f>+W39*('Jerarq. Riesgos Plazo'!$M$65/100+1)</f>
        <v>8.3099215626852327</v>
      </c>
      <c r="Y39" s="260"/>
      <c r="Z39" s="261"/>
      <c r="AA39" s="262"/>
      <c r="AB39" s="260">
        <v>7</v>
      </c>
      <c r="AC39" s="261">
        <f>+SUM(AC40:AC48)</f>
        <v>8.3000000000000007</v>
      </c>
      <c r="AD39" s="256">
        <f>+AC39*('Jerarq. Riesgos Plazo'!$M$65/100+1)</f>
        <v>8.3099215626852327</v>
      </c>
      <c r="AE39" s="260"/>
      <c r="AF39" s="261"/>
      <c r="AG39" s="262"/>
    </row>
    <row r="40" spans="2:33" ht="18" hidden="1" x14ac:dyDescent="0.25">
      <c r="B40" s="335" t="s">
        <v>450</v>
      </c>
      <c r="C40" s="115" t="s">
        <v>643</v>
      </c>
      <c r="D40" s="112" t="s">
        <v>452</v>
      </c>
      <c r="E40" s="113" t="s">
        <v>453</v>
      </c>
      <c r="F40" s="113">
        <v>1</v>
      </c>
      <c r="G40" s="265">
        <v>1</v>
      </c>
      <c r="H40" s="114">
        <v>5757534.4407105129</v>
      </c>
      <c r="I40" s="325">
        <f t="shared" ref="I40:I48" si="20">+F40*H40</f>
        <v>5757534.4407105129</v>
      </c>
      <c r="J40" s="29">
        <v>0.9</v>
      </c>
      <c r="K40" s="4">
        <v>1</v>
      </c>
      <c r="L40" s="290">
        <f>+K40*('Jerarq. Riesgos Plazo'!$M$65+1)</f>
        <v>1.1195368998220752</v>
      </c>
      <c r="M40" s="64">
        <f>+N40*(-'Jerarq. Riesgos Costos'!$J$71+1)</f>
        <v>5181780.9966394622</v>
      </c>
      <c r="N40" s="203">
        <f t="shared" si="19"/>
        <v>5757534.4407105129</v>
      </c>
      <c r="O40" s="49">
        <f>+N40*('Jerarq. Riesgos Costos'!$K$78+1)</f>
        <v>7189667.2648769608</v>
      </c>
      <c r="P40" s="29"/>
      <c r="Q40" s="4">
        <f t="shared" si="3"/>
        <v>1</v>
      </c>
      <c r="R40" s="264">
        <f>+Q40*('Jerarq. Riesgos Plazo'!$M$67+1)</f>
        <v>1.3774793348724601</v>
      </c>
      <c r="S40" s="34">
        <f>+T40*(-'Jerarq. Riesgos Costos'!$P$71+1)</f>
        <v>5181780.9966394622</v>
      </c>
      <c r="T40" s="203">
        <f t="shared" si="18"/>
        <v>5757534.4407105129</v>
      </c>
      <c r="U40" s="34">
        <f>+T40*('Jerarq. Riesgos Costos'!$Q$71+1)</f>
        <v>7283065.595657629</v>
      </c>
      <c r="V40" s="29"/>
      <c r="W40" s="4">
        <v>1</v>
      </c>
      <c r="X40" s="256">
        <f>+W40*('Jerarq. Riesgos Plazo'!$M$65/100+1)</f>
        <v>1.0011953689982207</v>
      </c>
      <c r="Y40" s="29"/>
      <c r="Z40" s="4"/>
      <c r="AA40" s="30"/>
      <c r="AB40" s="29"/>
      <c r="AC40" s="4">
        <v>1</v>
      </c>
      <c r="AD40" s="256">
        <f>+AC40*('Jerarq. Riesgos Plazo'!$M$65/100+1)</f>
        <v>1.0011953689982207</v>
      </c>
      <c r="AE40" s="29"/>
      <c r="AF40" s="4"/>
      <c r="AG40" s="30"/>
    </row>
    <row r="41" spans="2:33" ht="18" hidden="1" x14ac:dyDescent="0.25">
      <c r="B41" s="335" t="s">
        <v>450</v>
      </c>
      <c r="C41" s="115" t="s">
        <v>644</v>
      </c>
      <c r="D41" s="112" t="s">
        <v>455</v>
      </c>
      <c r="E41" s="113" t="s">
        <v>453</v>
      </c>
      <c r="F41" s="113">
        <v>2</v>
      </c>
      <c r="G41" s="265">
        <v>0.5</v>
      </c>
      <c r="H41" s="114">
        <v>5466788.3821411431</v>
      </c>
      <c r="I41" s="325">
        <f t="shared" si="20"/>
        <v>10933576.764282286</v>
      </c>
      <c r="J41" s="29">
        <v>0.45</v>
      </c>
      <c r="K41" s="4">
        <v>0.5</v>
      </c>
      <c r="L41" s="290">
        <f>+K41*('Jerarq. Riesgos Plazo'!$M$65+1)</f>
        <v>0.55976844991103758</v>
      </c>
      <c r="M41" s="64">
        <f>+N41*(-'Jerarq. Riesgos Costos'!$J$71+1)</f>
        <v>9840219.0878540576</v>
      </c>
      <c r="N41" s="203">
        <f t="shared" si="19"/>
        <v>10933576.764282286</v>
      </c>
      <c r="O41" s="49">
        <f>+N41*('Jerarq. Riesgos Costos'!$K$78+1)</f>
        <v>13653201.688964441</v>
      </c>
      <c r="P41" s="29"/>
      <c r="Q41" s="4">
        <f t="shared" si="3"/>
        <v>0.5</v>
      </c>
      <c r="R41" s="264">
        <f>+Q41*('Jerarq. Riesgos Plazo'!$M$67+1)</f>
        <v>0.68873966743623005</v>
      </c>
      <c r="S41" s="34">
        <f>+T41*(-'Jerarq. Riesgos Costos'!$P$71+1)</f>
        <v>9840219.0878540576</v>
      </c>
      <c r="T41" s="203">
        <f t="shared" si="18"/>
        <v>10933576.764282286</v>
      </c>
      <c r="U41" s="34">
        <f>+T41*('Jerarq. Riesgos Costos'!$Q$71+1)</f>
        <v>13830565.425084837</v>
      </c>
      <c r="V41" s="29"/>
      <c r="W41" s="4">
        <v>0.5</v>
      </c>
      <c r="X41" s="256">
        <f>+W41*('Jerarq. Riesgos Plazo'!$M$65/100+1)</f>
        <v>0.50059768449911035</v>
      </c>
      <c r="Y41" s="29"/>
      <c r="Z41" s="4"/>
      <c r="AA41" s="30"/>
      <c r="AB41" s="29"/>
      <c r="AC41" s="4">
        <v>0.5</v>
      </c>
      <c r="AD41" s="256">
        <f>+AC41*('Jerarq. Riesgos Plazo'!$M$65/100+1)</f>
        <v>0.50059768449911035</v>
      </c>
      <c r="AE41" s="29"/>
      <c r="AF41" s="4"/>
      <c r="AG41" s="30"/>
    </row>
    <row r="42" spans="2:33" ht="18" hidden="1" x14ac:dyDescent="0.25">
      <c r="B42" s="335" t="s">
        <v>450</v>
      </c>
      <c r="C42" s="115" t="s">
        <v>645</v>
      </c>
      <c r="D42" s="112" t="s">
        <v>457</v>
      </c>
      <c r="E42" s="113" t="s">
        <v>453</v>
      </c>
      <c r="F42" s="113">
        <v>2</v>
      </c>
      <c r="G42" s="265">
        <v>0.5</v>
      </c>
      <c r="H42" s="114">
        <v>4100000</v>
      </c>
      <c r="I42" s="325">
        <f t="shared" si="20"/>
        <v>8200000</v>
      </c>
      <c r="J42" s="29">
        <v>0.45</v>
      </c>
      <c r="K42" s="4">
        <v>0.5</v>
      </c>
      <c r="L42" s="290">
        <f>+K42*('Jerarq. Riesgos Plazo'!$M$65+1)</f>
        <v>0.55976844991103758</v>
      </c>
      <c r="M42" s="64">
        <f>+N42*(-'Jerarq. Riesgos Costos'!$J$71+1)</f>
        <v>7380000</v>
      </c>
      <c r="N42" s="203">
        <f t="shared" si="19"/>
        <v>8200000</v>
      </c>
      <c r="O42" s="49">
        <f>+N42*('Jerarq. Riesgos Costos'!$K$78+1)</f>
        <v>10239673.280133372</v>
      </c>
      <c r="P42" s="29"/>
      <c r="Q42" s="4">
        <f t="shared" si="3"/>
        <v>0.5</v>
      </c>
      <c r="R42" s="264">
        <f>+Q42*('Jerarq. Riesgos Plazo'!$M$67+1)</f>
        <v>0.68873966743623005</v>
      </c>
      <c r="S42" s="34">
        <f>+T42*(-'Jerarq. Riesgos Costos'!$P$71+1)</f>
        <v>7380000</v>
      </c>
      <c r="T42" s="203">
        <f t="shared" si="18"/>
        <v>8200000</v>
      </c>
      <c r="U42" s="34">
        <f>+T42*('Jerarq. Riesgos Costos'!$Q$71+1)</f>
        <v>10372693.120533487</v>
      </c>
      <c r="V42" s="29"/>
      <c r="W42" s="4">
        <v>0.5</v>
      </c>
      <c r="X42" s="256">
        <f>+W42*('Jerarq. Riesgos Plazo'!$M$65/100+1)</f>
        <v>0.50059768449911035</v>
      </c>
      <c r="Y42" s="29"/>
      <c r="Z42" s="4"/>
      <c r="AA42" s="30"/>
      <c r="AB42" s="29"/>
      <c r="AC42" s="4">
        <v>0.5</v>
      </c>
      <c r="AD42" s="256">
        <f>+AC42*('Jerarq. Riesgos Plazo'!$M$65/100+1)</f>
        <v>0.50059768449911035</v>
      </c>
      <c r="AE42" s="29"/>
      <c r="AF42" s="4"/>
      <c r="AG42" s="30"/>
    </row>
    <row r="43" spans="2:33" ht="18" hidden="1" x14ac:dyDescent="0.25">
      <c r="B43" s="335" t="s">
        <v>450</v>
      </c>
      <c r="C43" s="115" t="s">
        <v>646</v>
      </c>
      <c r="D43" s="112" t="s">
        <v>459</v>
      </c>
      <c r="E43" s="113" t="s">
        <v>453</v>
      </c>
      <c r="F43" s="113">
        <v>1</v>
      </c>
      <c r="G43" s="265">
        <v>0.3</v>
      </c>
      <c r="H43" s="114">
        <v>3150000</v>
      </c>
      <c r="I43" s="325">
        <f t="shared" si="20"/>
        <v>3150000</v>
      </c>
      <c r="J43" s="29">
        <v>0.25</v>
      </c>
      <c r="K43" s="4">
        <v>0.3</v>
      </c>
      <c r="L43" s="290">
        <f>+K43*('Jerarq. Riesgos Plazo'!$M$65+1)</f>
        <v>0.33586106994662251</v>
      </c>
      <c r="M43" s="64">
        <f>+N43*(-'Jerarq. Riesgos Costos'!$J$71+1)</f>
        <v>2835000</v>
      </c>
      <c r="N43" s="203">
        <f t="shared" si="19"/>
        <v>3150000</v>
      </c>
      <c r="O43" s="49">
        <f>+N43*('Jerarq. Riesgos Costos'!$K$78+1)</f>
        <v>3933533.0283439173</v>
      </c>
      <c r="P43" s="29"/>
      <c r="Q43" s="4">
        <f t="shared" si="3"/>
        <v>0.3</v>
      </c>
      <c r="R43" s="264">
        <f>+Q43*('Jerarq. Riesgos Plazo'!$M$67+1)</f>
        <v>0.41324380046173803</v>
      </c>
      <c r="S43" s="34">
        <f>+T43*(-'Jerarq. Riesgos Costos'!$P$71+1)</f>
        <v>2835000</v>
      </c>
      <c r="T43" s="203">
        <f t="shared" si="18"/>
        <v>3150000</v>
      </c>
      <c r="U43" s="34">
        <f>+T43*('Jerarq. Riesgos Costos'!$Q$71+1)</f>
        <v>3984632.1133756689</v>
      </c>
      <c r="V43" s="29"/>
      <c r="W43" s="4">
        <v>0.3</v>
      </c>
      <c r="X43" s="256">
        <f>+W43*('Jerarq. Riesgos Plazo'!$M$65/100+1)</f>
        <v>0.30035861069946618</v>
      </c>
      <c r="Y43" s="29"/>
      <c r="Z43" s="4"/>
      <c r="AA43" s="30"/>
      <c r="AB43" s="29"/>
      <c r="AC43" s="4">
        <v>0.3</v>
      </c>
      <c r="AD43" s="256">
        <f>+AC43*('Jerarq. Riesgos Plazo'!$M$65/100+1)</f>
        <v>0.30035861069946618</v>
      </c>
      <c r="AE43" s="29"/>
      <c r="AF43" s="4"/>
      <c r="AG43" s="30"/>
    </row>
    <row r="44" spans="2:33" ht="18" hidden="1" x14ac:dyDescent="0.25">
      <c r="B44" s="335" t="s">
        <v>450</v>
      </c>
      <c r="C44" s="115" t="s">
        <v>647</v>
      </c>
      <c r="D44" s="112" t="s">
        <v>461</v>
      </c>
      <c r="E44" s="113" t="s">
        <v>453</v>
      </c>
      <c r="F44" s="113">
        <v>1</v>
      </c>
      <c r="G44" s="265">
        <v>1</v>
      </c>
      <c r="H44" s="114">
        <v>1140000</v>
      </c>
      <c r="I44" s="325">
        <f t="shared" si="20"/>
        <v>1140000</v>
      </c>
      <c r="J44" s="29">
        <v>0.95</v>
      </c>
      <c r="K44" s="4">
        <v>1</v>
      </c>
      <c r="L44" s="290">
        <f>+K44*('Jerarq. Riesgos Plazo'!$M$65+1)</f>
        <v>1.1195368998220752</v>
      </c>
      <c r="M44" s="64">
        <f>+N44*(-'Jerarq. Riesgos Costos'!$J$71+1)</f>
        <v>1026000</v>
      </c>
      <c r="N44" s="203">
        <f t="shared" si="19"/>
        <v>1140000</v>
      </c>
      <c r="O44" s="49">
        <f>+N44*('Jerarq. Riesgos Costos'!$K$78+1)</f>
        <v>1423564.3340673223</v>
      </c>
      <c r="P44" s="29"/>
      <c r="Q44" s="4">
        <f t="shared" si="3"/>
        <v>1</v>
      </c>
      <c r="R44" s="264">
        <f>+Q44*('Jerarq. Riesgos Plazo'!$M$67+1)</f>
        <v>1.3774793348724601</v>
      </c>
      <c r="S44" s="34">
        <f>+T44*(-'Jerarq. Riesgos Costos'!$P$71+1)</f>
        <v>1026000</v>
      </c>
      <c r="T44" s="203">
        <f t="shared" si="18"/>
        <v>1140000</v>
      </c>
      <c r="U44" s="34">
        <f>+T44*('Jerarq. Riesgos Costos'!$Q$71+1)</f>
        <v>1442057.3362692897</v>
      </c>
      <c r="V44" s="29"/>
      <c r="W44" s="4">
        <v>1</v>
      </c>
      <c r="X44" s="256">
        <f>+W44*('Jerarq. Riesgos Plazo'!$M$65/100+1)</f>
        <v>1.0011953689982207</v>
      </c>
      <c r="Y44" s="29"/>
      <c r="Z44" s="4"/>
      <c r="AA44" s="30"/>
      <c r="AB44" s="29"/>
      <c r="AC44" s="4">
        <v>1</v>
      </c>
      <c r="AD44" s="256">
        <f>+AC44*('Jerarq. Riesgos Plazo'!$M$65/100+1)</f>
        <v>1.0011953689982207</v>
      </c>
      <c r="AE44" s="29"/>
      <c r="AF44" s="4"/>
      <c r="AG44" s="30"/>
    </row>
    <row r="45" spans="2:33" ht="18" hidden="1" x14ac:dyDescent="0.25">
      <c r="B45" s="335" t="s">
        <v>450</v>
      </c>
      <c r="C45" s="115" t="s">
        <v>648</v>
      </c>
      <c r="D45" s="112" t="s">
        <v>463</v>
      </c>
      <c r="E45" s="113" t="s">
        <v>453</v>
      </c>
      <c r="F45" s="113">
        <v>1</v>
      </c>
      <c r="G45" s="265">
        <v>2</v>
      </c>
      <c r="H45" s="114">
        <v>5563703.7349975994</v>
      </c>
      <c r="I45" s="325">
        <f t="shared" si="20"/>
        <v>5563703.7349975994</v>
      </c>
      <c r="J45" s="29">
        <v>1.95</v>
      </c>
      <c r="K45" s="4">
        <v>2</v>
      </c>
      <c r="L45" s="290">
        <f>+K45*('Jerarq. Riesgos Plazo'!$M$65+1)</f>
        <v>2.2390737996441503</v>
      </c>
      <c r="M45" s="64">
        <f>+N45*(-'Jerarq. Riesgos Costos'!$J$71+1)</f>
        <v>5007333.3614978399</v>
      </c>
      <c r="N45" s="203">
        <f t="shared" si="19"/>
        <v>5563703.7349975994</v>
      </c>
      <c r="O45" s="49">
        <f>+N45*('Jerarq. Riesgos Costos'!$K$78+1)</f>
        <v>6947622.9846138004</v>
      </c>
      <c r="P45" s="29"/>
      <c r="Q45" s="4">
        <f t="shared" si="3"/>
        <v>2</v>
      </c>
      <c r="R45" s="264">
        <f>+Q45*('Jerarq. Riesgos Plazo'!$M$67+1)</f>
        <v>2.7549586697449202</v>
      </c>
      <c r="S45" s="34">
        <f>+T45*(-'Jerarq. Riesgos Costos'!$P$71+1)</f>
        <v>5007333.3614978399</v>
      </c>
      <c r="T45" s="203">
        <f t="shared" si="18"/>
        <v>5563703.7349975994</v>
      </c>
      <c r="U45" s="34">
        <f>+T45*('Jerarq. Riesgos Costos'!$Q$71+1)</f>
        <v>7037877.0069141546</v>
      </c>
      <c r="V45" s="29"/>
      <c r="W45" s="4">
        <v>2</v>
      </c>
      <c r="X45" s="256">
        <f>+W45*('Jerarq. Riesgos Plazo'!$M$65/100+1)</f>
        <v>2.0023907379964414</v>
      </c>
      <c r="Y45" s="29"/>
      <c r="Z45" s="4"/>
      <c r="AA45" s="30"/>
      <c r="AB45" s="29"/>
      <c r="AC45" s="4">
        <v>2</v>
      </c>
      <c r="AD45" s="256">
        <f>+AC45*('Jerarq. Riesgos Plazo'!$M$65/100+1)</f>
        <v>2.0023907379964414</v>
      </c>
      <c r="AE45" s="29"/>
      <c r="AF45" s="4"/>
      <c r="AG45" s="30"/>
    </row>
    <row r="46" spans="2:33" ht="18" hidden="1" x14ac:dyDescent="0.25">
      <c r="B46" s="335" t="s">
        <v>450</v>
      </c>
      <c r="C46" s="115" t="s">
        <v>649</v>
      </c>
      <c r="D46" s="112" t="s">
        <v>465</v>
      </c>
      <c r="E46" s="113" t="s">
        <v>411</v>
      </c>
      <c r="F46" s="113">
        <v>1</v>
      </c>
      <c r="G46" s="265">
        <v>1</v>
      </c>
      <c r="H46" s="114">
        <v>2500000</v>
      </c>
      <c r="I46" s="325">
        <f t="shared" si="20"/>
        <v>2500000</v>
      </c>
      <c r="J46" s="29">
        <v>0.95</v>
      </c>
      <c r="K46" s="4">
        <v>1</v>
      </c>
      <c r="L46" s="290">
        <f>+K46*('Jerarq. Riesgos Plazo'!$M$65+1)</f>
        <v>1.1195368998220752</v>
      </c>
      <c r="M46" s="64">
        <f>+N46*(-'Jerarq. Riesgos Costos'!$J$71+1)</f>
        <v>2250000</v>
      </c>
      <c r="N46" s="203">
        <f t="shared" si="19"/>
        <v>2500000</v>
      </c>
      <c r="O46" s="49">
        <f>+N46*('Jerarq. Riesgos Costos'!$K$78+1)</f>
        <v>3121851.6097967597</v>
      </c>
      <c r="P46" s="29"/>
      <c r="Q46" s="4">
        <f t="shared" si="3"/>
        <v>1</v>
      </c>
      <c r="R46" s="264">
        <f>+Q46*('Jerarq. Riesgos Plazo'!$M$67+1)</f>
        <v>1.3774793348724601</v>
      </c>
      <c r="S46" s="34">
        <f>+T46*(-'Jerarq. Riesgos Costos'!$P$71+1)</f>
        <v>2250000</v>
      </c>
      <c r="T46" s="203">
        <f t="shared" si="18"/>
        <v>2500000</v>
      </c>
      <c r="U46" s="34">
        <f>+T46*('Jerarq. Riesgos Costos'!$Q$71+1)</f>
        <v>3162406.4391870387</v>
      </c>
      <c r="V46" s="29"/>
      <c r="W46" s="4">
        <v>1</v>
      </c>
      <c r="X46" s="256">
        <f>+W46*('Jerarq. Riesgos Plazo'!$M$65/100+1)</f>
        <v>1.0011953689982207</v>
      </c>
      <c r="Y46" s="29"/>
      <c r="Z46" s="4"/>
      <c r="AA46" s="30"/>
      <c r="AB46" s="29"/>
      <c r="AC46" s="4">
        <v>1</v>
      </c>
      <c r="AD46" s="256">
        <f>+AC46*('Jerarq. Riesgos Plazo'!$M$65/100+1)</f>
        <v>1.0011953689982207</v>
      </c>
      <c r="AE46" s="29"/>
      <c r="AF46" s="4"/>
      <c r="AG46" s="30"/>
    </row>
    <row r="47" spans="2:33" ht="18" hidden="1" x14ac:dyDescent="0.25">
      <c r="B47" s="335" t="s">
        <v>450</v>
      </c>
      <c r="C47" s="115" t="s">
        <v>650</v>
      </c>
      <c r="D47" s="112" t="s">
        <v>467</v>
      </c>
      <c r="E47" s="113" t="s">
        <v>411</v>
      </c>
      <c r="F47" s="113">
        <v>1</v>
      </c>
      <c r="G47" s="265">
        <v>1</v>
      </c>
      <c r="H47" s="114">
        <v>4444000</v>
      </c>
      <c r="I47" s="325">
        <f t="shared" si="20"/>
        <v>4444000</v>
      </c>
      <c r="J47" s="29">
        <v>0.95</v>
      </c>
      <c r="K47" s="4">
        <v>1</v>
      </c>
      <c r="L47" s="290">
        <f>+K47*('Jerarq. Riesgos Plazo'!$M$65+1)</f>
        <v>1.1195368998220752</v>
      </c>
      <c r="M47" s="64">
        <f>+N47*(-'Jerarq. Riesgos Costos'!$J$71+1)</f>
        <v>3999600</v>
      </c>
      <c r="N47" s="203">
        <f t="shared" si="19"/>
        <v>4444000</v>
      </c>
      <c r="O47" s="49">
        <f>+N47*('Jerarq. Riesgos Costos'!$K$78+1)</f>
        <v>5549403.4215747202</v>
      </c>
      <c r="P47" s="29"/>
      <c r="Q47" s="4">
        <f t="shared" si="3"/>
        <v>1</v>
      </c>
      <c r="R47" s="264">
        <f>+Q47*('Jerarq. Riesgos Plazo'!$M$67+1)</f>
        <v>1.3774793348724601</v>
      </c>
      <c r="S47" s="34">
        <f>+T47*(-'Jerarq. Riesgos Costos'!$P$71+1)</f>
        <v>3999600</v>
      </c>
      <c r="T47" s="203">
        <f t="shared" si="18"/>
        <v>4444000</v>
      </c>
      <c r="U47" s="34">
        <f>+T47*('Jerarq. Riesgos Costos'!$Q$71+1)</f>
        <v>5621493.6862988798</v>
      </c>
      <c r="V47" s="29"/>
      <c r="W47" s="4">
        <v>1</v>
      </c>
      <c r="X47" s="256">
        <f>+W47*('Jerarq. Riesgos Plazo'!$M$65/100+1)</f>
        <v>1.0011953689982207</v>
      </c>
      <c r="Y47" s="29"/>
      <c r="Z47" s="4"/>
      <c r="AA47" s="30"/>
      <c r="AB47" s="29"/>
      <c r="AC47" s="4">
        <v>1</v>
      </c>
      <c r="AD47" s="256">
        <f>+AC47*('Jerarq. Riesgos Plazo'!$M$65/100+1)</f>
        <v>1.0011953689982207</v>
      </c>
      <c r="AE47" s="29"/>
      <c r="AF47" s="4"/>
      <c r="AG47" s="30"/>
    </row>
    <row r="48" spans="2:33" ht="18" hidden="1" x14ac:dyDescent="0.25">
      <c r="B48" s="335" t="s">
        <v>450</v>
      </c>
      <c r="C48" s="115" t="s">
        <v>691</v>
      </c>
      <c r="D48" s="112" t="s">
        <v>468</v>
      </c>
      <c r="E48" s="113" t="s">
        <v>411</v>
      </c>
      <c r="F48" s="113">
        <v>1</v>
      </c>
      <c r="G48" s="265">
        <v>1</v>
      </c>
      <c r="H48" s="114">
        <v>21134400</v>
      </c>
      <c r="I48" s="325">
        <f t="shared" si="20"/>
        <v>21134400</v>
      </c>
      <c r="J48" s="29">
        <v>0.95</v>
      </c>
      <c r="K48" s="4">
        <v>1</v>
      </c>
      <c r="L48" s="290">
        <f>+K48*('Jerarq. Riesgos Plazo'!$M$65+1)</f>
        <v>1.1195368998220752</v>
      </c>
      <c r="M48" s="64">
        <f>+N48*(-'Jerarq. Riesgos Costos'!$J$71+1)</f>
        <v>19020960</v>
      </c>
      <c r="N48" s="203">
        <f t="shared" si="19"/>
        <v>21134400</v>
      </c>
      <c r="O48" s="49">
        <f>+N48*('Jerarq. Riesgos Costos'!$K$78+1)</f>
        <v>26391384.264835455</v>
      </c>
      <c r="P48" s="29"/>
      <c r="Q48" s="4">
        <f t="shared" si="3"/>
        <v>1</v>
      </c>
      <c r="R48" s="264">
        <f>+Q48*('Jerarq. Riesgos Plazo'!$M$67+1)</f>
        <v>1.3774793348724601</v>
      </c>
      <c r="S48" s="34">
        <f>+T48*(-'Jerarq. Riesgos Costos'!$P$71+1)</f>
        <v>19020960</v>
      </c>
      <c r="T48" s="203">
        <f t="shared" si="18"/>
        <v>21134400</v>
      </c>
      <c r="U48" s="34">
        <f>+T48*('Jerarq. Riesgos Costos'!$Q$71+1)</f>
        <v>26734225.059341822</v>
      </c>
      <c r="V48" s="29"/>
      <c r="W48" s="4">
        <v>1</v>
      </c>
      <c r="X48" s="256">
        <f>+W48*('Jerarq. Riesgos Plazo'!$M$65/100+1)</f>
        <v>1.0011953689982207</v>
      </c>
      <c r="Y48" s="29"/>
      <c r="Z48" s="4"/>
      <c r="AA48" s="30"/>
      <c r="AB48" s="29"/>
      <c r="AC48" s="4">
        <v>1</v>
      </c>
      <c r="AD48" s="256">
        <f>+AC48*('Jerarq. Riesgos Plazo'!$M$65/100+1)</f>
        <v>1.0011953689982207</v>
      </c>
      <c r="AE48" s="29"/>
      <c r="AF48" s="4"/>
      <c r="AG48" s="30"/>
    </row>
    <row r="49" spans="2:33" ht="18" x14ac:dyDescent="0.25">
      <c r="B49" s="337" t="s">
        <v>674</v>
      </c>
      <c r="C49" s="251" t="s">
        <v>458</v>
      </c>
      <c r="D49" s="252" t="s">
        <v>803</v>
      </c>
      <c r="E49" s="253"/>
      <c r="F49" s="254"/>
      <c r="G49" s="261">
        <f>+SUM(G50:G79)</f>
        <v>18.7</v>
      </c>
      <c r="H49" s="255"/>
      <c r="I49" s="262">
        <f>+SUM(I50:I80)</f>
        <v>76633350</v>
      </c>
      <c r="J49" s="260">
        <v>15</v>
      </c>
      <c r="K49" s="261">
        <f>+SUM(K50:K79)</f>
        <v>18.7</v>
      </c>
      <c r="L49" s="256">
        <f>+SUM(L50:L80)</f>
        <v>21.047293716655023</v>
      </c>
      <c r="M49" s="260">
        <f>+SUM(M50:M80)</f>
        <v>68970015</v>
      </c>
      <c r="N49" s="261">
        <f>+SUM(N50:N80)</f>
        <v>76633350</v>
      </c>
      <c r="O49" s="262">
        <f>+SUM(O50:O80)</f>
        <v>95695178.824647397</v>
      </c>
      <c r="P49" s="260">
        <v>16</v>
      </c>
      <c r="Q49" s="261">
        <f t="shared" si="3"/>
        <v>18.7</v>
      </c>
      <c r="R49" s="262">
        <f>+Q49*('Jerarq. Riesgos Plazo'!$M$67+1)</f>
        <v>25.758863562115003</v>
      </c>
      <c r="S49" s="260">
        <f>+SUM(S50:S80)</f>
        <v>61306680</v>
      </c>
      <c r="T49" s="261">
        <f>+SUM(T50:T80)</f>
        <v>76633350</v>
      </c>
      <c r="U49" s="262">
        <f>+SUM(U50:U80)</f>
        <v>101536320.79858962</v>
      </c>
      <c r="V49" s="260">
        <v>15</v>
      </c>
      <c r="W49" s="261">
        <f>+SUM(W50:W79)</f>
        <v>18.7</v>
      </c>
      <c r="X49" s="256">
        <f>+W49*('Jerarq. Riesgos Plazo'!$M$65/100+1)</f>
        <v>18.722353400266726</v>
      </c>
      <c r="Y49" s="260"/>
      <c r="Z49" s="261"/>
      <c r="AA49" s="262"/>
      <c r="AB49" s="260">
        <v>15</v>
      </c>
      <c r="AC49" s="261">
        <f>+SUM(AC50:AC79)</f>
        <v>18.7</v>
      </c>
      <c r="AD49" s="256">
        <f>+AC49*('Jerarq. Riesgos Plazo'!$M$65/100+1)</f>
        <v>18.722353400266726</v>
      </c>
      <c r="AE49" s="260"/>
      <c r="AF49" s="261"/>
      <c r="AG49" s="262"/>
    </row>
    <row r="50" spans="2:33" ht="18" hidden="1" x14ac:dyDescent="0.25">
      <c r="B50" s="335" t="s">
        <v>470</v>
      </c>
      <c r="C50" s="115" t="s">
        <v>692</v>
      </c>
      <c r="D50" s="112" t="s">
        <v>471</v>
      </c>
      <c r="E50" s="113" t="s">
        <v>472</v>
      </c>
      <c r="F50" s="113">
        <v>1</v>
      </c>
      <c r="G50" s="265">
        <v>0.2</v>
      </c>
      <c r="H50" s="114">
        <v>56000</v>
      </c>
      <c r="I50" s="325">
        <f t="shared" ref="I50:I80" si="21">+F50*H50</f>
        <v>56000</v>
      </c>
      <c r="J50" s="29">
        <v>0.1</v>
      </c>
      <c r="K50" s="4">
        <v>0.2</v>
      </c>
      <c r="L50" s="290">
        <f>+K50*('Jerarq. Riesgos Plazo'!$M$65+1)</f>
        <v>0.22390737996441504</v>
      </c>
      <c r="M50" s="64">
        <f>+N50*(-'Jerarq. Riesgos Costos'!$J$71+1)</f>
        <v>50400</v>
      </c>
      <c r="N50" s="203">
        <f t="shared" si="19"/>
        <v>56000</v>
      </c>
      <c r="O50" s="49">
        <f>+N50*('Jerarq. Riesgos Costos'!$K$78+1)</f>
        <v>69929.476059447421</v>
      </c>
      <c r="P50" s="29"/>
      <c r="Q50" s="4">
        <f t="shared" si="3"/>
        <v>0.2</v>
      </c>
      <c r="R50" s="263">
        <f>+Q50*('Jerarq. Riesgos Plazo'!$M$67+1)</f>
        <v>0.27549586697449202</v>
      </c>
      <c r="S50" s="34">
        <f>+T50*(-'Jerarq. Riesgos Costos'!$P$72+1)</f>
        <v>44800</v>
      </c>
      <c r="T50" s="203">
        <f t="shared" si="18"/>
        <v>56000</v>
      </c>
      <c r="U50" s="34">
        <f>+T50*('Jerarq. Riesgos Costos'!$Q$72+1)</f>
        <v>74197.904237789655</v>
      </c>
      <c r="V50" s="29"/>
      <c r="W50" s="4">
        <v>0.2</v>
      </c>
      <c r="X50" s="256">
        <f>+W50*('Jerarq. Riesgos Plazo'!$M$65/100+1)</f>
        <v>0.20023907379964415</v>
      </c>
      <c r="Y50" s="29"/>
      <c r="Z50" s="4"/>
      <c r="AA50" s="30"/>
      <c r="AB50" s="29"/>
      <c r="AC50" s="4">
        <v>0.2</v>
      </c>
      <c r="AD50" s="256">
        <f>+AC50*('Jerarq. Riesgos Plazo'!$M$65/100+1)</f>
        <v>0.20023907379964415</v>
      </c>
      <c r="AE50" s="29"/>
      <c r="AF50" s="4"/>
      <c r="AG50" s="30"/>
    </row>
    <row r="51" spans="2:33" ht="18" hidden="1" x14ac:dyDescent="0.25">
      <c r="B51" s="335" t="s">
        <v>470</v>
      </c>
      <c r="C51" s="115" t="s">
        <v>693</v>
      </c>
      <c r="D51" s="112" t="s">
        <v>473</v>
      </c>
      <c r="E51" s="113" t="s">
        <v>472</v>
      </c>
      <c r="F51" s="113">
        <v>5</v>
      </c>
      <c r="G51" s="265">
        <v>0.3</v>
      </c>
      <c r="H51" s="114">
        <v>63000</v>
      </c>
      <c r="I51" s="325">
        <f t="shared" si="21"/>
        <v>315000</v>
      </c>
      <c r="J51" s="29">
        <v>0.2</v>
      </c>
      <c r="K51" s="4">
        <v>0.3</v>
      </c>
      <c r="L51" s="290">
        <f>+K51*('Jerarq. Riesgos Plazo'!$M$65+1)</f>
        <v>0.33586106994662251</v>
      </c>
      <c r="M51" s="64">
        <f>+N51*(-'Jerarq. Riesgos Costos'!$J$71+1)</f>
        <v>283500</v>
      </c>
      <c r="N51" s="203">
        <f t="shared" si="19"/>
        <v>315000</v>
      </c>
      <c r="O51" s="49">
        <f>+N51*('Jerarq. Riesgos Costos'!$K$78+1)</f>
        <v>393353.30283439171</v>
      </c>
      <c r="P51" s="29"/>
      <c r="Q51" s="4">
        <f t="shared" si="3"/>
        <v>0.3</v>
      </c>
      <c r="R51" s="263">
        <f>+Q51*('Jerarq. Riesgos Plazo'!$M$67+1)</f>
        <v>0.41324380046173803</v>
      </c>
      <c r="S51" s="34">
        <f>+T51*(-'Jerarq. Riesgos Costos'!$P$72+1)</f>
        <v>252000</v>
      </c>
      <c r="T51" s="203">
        <f t="shared" si="18"/>
        <v>315000</v>
      </c>
      <c r="U51" s="34">
        <f>+T51*('Jerarq. Riesgos Costos'!$Q$72+1)</f>
        <v>417363.21133756684</v>
      </c>
      <c r="V51" s="29"/>
      <c r="W51" s="4">
        <v>0.3</v>
      </c>
      <c r="X51" s="256">
        <f>+W51*('Jerarq. Riesgos Plazo'!$M$65/100+1)</f>
        <v>0.30035861069946618</v>
      </c>
      <c r="Y51" s="29"/>
      <c r="Z51" s="4"/>
      <c r="AA51" s="30"/>
      <c r="AB51" s="29"/>
      <c r="AC51" s="4">
        <v>0.3</v>
      </c>
      <c r="AD51" s="256">
        <f>+AC51*('Jerarq. Riesgos Plazo'!$M$65/100+1)</f>
        <v>0.30035861069946618</v>
      </c>
      <c r="AE51" s="29"/>
      <c r="AF51" s="4"/>
      <c r="AG51" s="30"/>
    </row>
    <row r="52" spans="2:33" ht="18" hidden="1" x14ac:dyDescent="0.25">
      <c r="B52" s="335" t="s">
        <v>470</v>
      </c>
      <c r="C52" s="115" t="s">
        <v>694</v>
      </c>
      <c r="D52" s="112" t="s">
        <v>474</v>
      </c>
      <c r="E52" s="113" t="s">
        <v>472</v>
      </c>
      <c r="F52" s="113">
        <v>258</v>
      </c>
      <c r="G52" s="265">
        <v>2</v>
      </c>
      <c r="H52" s="114">
        <v>77000</v>
      </c>
      <c r="I52" s="325">
        <f t="shared" si="21"/>
        <v>19866000</v>
      </c>
      <c r="J52" s="29">
        <v>1.2</v>
      </c>
      <c r="K52" s="4">
        <v>2</v>
      </c>
      <c r="L52" s="290">
        <f>+K52*('Jerarq. Riesgos Plazo'!$M$65+1)</f>
        <v>2.2390737996441503</v>
      </c>
      <c r="M52" s="64">
        <f>+N52*(-'Jerarq. Riesgos Costos'!$J$71+1)</f>
        <v>17879400</v>
      </c>
      <c r="N52" s="203">
        <f t="shared" si="19"/>
        <v>19866000</v>
      </c>
      <c r="O52" s="49">
        <f>+N52*('Jerarq. Riesgos Costos'!$K$78+1)</f>
        <v>24807481.63208897</v>
      </c>
      <c r="P52" s="29"/>
      <c r="Q52" s="4">
        <f t="shared" si="3"/>
        <v>2</v>
      </c>
      <c r="R52" s="263">
        <f>+Q52*('Jerarq. Riesgos Plazo'!$M$67+1)</f>
        <v>2.7549586697449202</v>
      </c>
      <c r="S52" s="34">
        <f>+T52*(-'Jerarq. Riesgos Costos'!$P$72+1)</f>
        <v>15892800</v>
      </c>
      <c r="T52" s="203">
        <f t="shared" si="18"/>
        <v>19866000</v>
      </c>
      <c r="U52" s="34">
        <f>+T52*('Jerarq. Riesgos Costos'!$Q$72+1)</f>
        <v>26321706.528355882</v>
      </c>
      <c r="V52" s="29"/>
      <c r="W52" s="4">
        <v>2</v>
      </c>
      <c r="X52" s="256">
        <f>+W52*('Jerarq. Riesgos Plazo'!$M$65/100+1)</f>
        <v>2.0023907379964414</v>
      </c>
      <c r="Y52" s="29"/>
      <c r="Z52" s="4"/>
      <c r="AA52" s="30"/>
      <c r="AB52" s="29"/>
      <c r="AC52" s="4">
        <v>2</v>
      </c>
      <c r="AD52" s="256">
        <f>+AC52*('Jerarq. Riesgos Plazo'!$M$65/100+1)</f>
        <v>2.0023907379964414</v>
      </c>
      <c r="AE52" s="29"/>
      <c r="AF52" s="4"/>
      <c r="AG52" s="30"/>
    </row>
    <row r="53" spans="2:33" ht="18" hidden="1" x14ac:dyDescent="0.25">
      <c r="B53" s="335" t="s">
        <v>470</v>
      </c>
      <c r="C53" s="115" t="s">
        <v>695</v>
      </c>
      <c r="D53" s="112" t="s">
        <v>475</v>
      </c>
      <c r="E53" s="113" t="s">
        <v>472</v>
      </c>
      <c r="F53" s="113">
        <v>4</v>
      </c>
      <c r="G53" s="265">
        <v>0.2</v>
      </c>
      <c r="H53" s="114">
        <v>84000</v>
      </c>
      <c r="I53" s="325">
        <f t="shared" si="21"/>
        <v>336000</v>
      </c>
      <c r="J53" s="29">
        <v>0.1</v>
      </c>
      <c r="K53" s="4">
        <v>0.2</v>
      </c>
      <c r="L53" s="290">
        <f>+K53*('Jerarq. Riesgos Plazo'!$M$65+1)</f>
        <v>0.22390737996441504</v>
      </c>
      <c r="M53" s="64">
        <f>+N53*(-'Jerarq. Riesgos Costos'!$J$71+1)</f>
        <v>302400</v>
      </c>
      <c r="N53" s="203">
        <f t="shared" si="19"/>
        <v>336000</v>
      </c>
      <c r="O53" s="49">
        <f>+N53*('Jerarq. Riesgos Costos'!$K$78+1)</f>
        <v>419576.85635668453</v>
      </c>
      <c r="P53" s="29"/>
      <c r="Q53" s="4">
        <f t="shared" si="3"/>
        <v>0.2</v>
      </c>
      <c r="R53" s="263">
        <f>+Q53*('Jerarq. Riesgos Plazo'!$M$67+1)</f>
        <v>0.27549586697449202</v>
      </c>
      <c r="S53" s="34">
        <f>+T53*(-'Jerarq. Riesgos Costos'!$P$72+1)</f>
        <v>268800</v>
      </c>
      <c r="T53" s="203">
        <f t="shared" si="18"/>
        <v>336000</v>
      </c>
      <c r="U53" s="34">
        <f>+T53*('Jerarq. Riesgos Costos'!$Q$72+1)</f>
        <v>445187.42542673793</v>
      </c>
      <c r="V53" s="29"/>
      <c r="W53" s="4">
        <v>0.2</v>
      </c>
      <c r="X53" s="256">
        <f>+W53*('Jerarq. Riesgos Plazo'!$M$65/100+1)</f>
        <v>0.20023907379964415</v>
      </c>
      <c r="Y53" s="29"/>
      <c r="Z53" s="4"/>
      <c r="AA53" s="30"/>
      <c r="AB53" s="29"/>
      <c r="AC53" s="4">
        <v>0.2</v>
      </c>
      <c r="AD53" s="256">
        <f>+AC53*('Jerarq. Riesgos Plazo'!$M$65/100+1)</f>
        <v>0.20023907379964415</v>
      </c>
      <c r="AE53" s="29"/>
      <c r="AF53" s="4"/>
      <c r="AG53" s="30"/>
    </row>
    <row r="54" spans="2:33" ht="18" hidden="1" x14ac:dyDescent="0.25">
      <c r="B54" s="335" t="s">
        <v>470</v>
      </c>
      <c r="C54" s="115" t="s">
        <v>696</v>
      </c>
      <c r="D54" s="112" t="s">
        <v>476</v>
      </c>
      <c r="E54" s="113" t="s">
        <v>453</v>
      </c>
      <c r="F54" s="113">
        <v>12</v>
      </c>
      <c r="G54" s="265">
        <v>0.3</v>
      </c>
      <c r="H54" s="114">
        <v>75000</v>
      </c>
      <c r="I54" s="325">
        <f t="shared" si="21"/>
        <v>900000</v>
      </c>
      <c r="J54" s="29">
        <v>0.25</v>
      </c>
      <c r="K54" s="4">
        <v>0.3</v>
      </c>
      <c r="L54" s="290">
        <f>+K54*('Jerarq. Riesgos Plazo'!$M$65+1)</f>
        <v>0.33586106994662251</v>
      </c>
      <c r="M54" s="64">
        <f>+N54*(-'Jerarq. Riesgos Costos'!$J$71+1)</f>
        <v>810000</v>
      </c>
      <c r="N54" s="203">
        <f t="shared" si="19"/>
        <v>900000</v>
      </c>
      <c r="O54" s="49">
        <f>+N54*('Jerarq. Riesgos Costos'!$K$78+1)</f>
        <v>1123866.5795268335</v>
      </c>
      <c r="P54" s="29"/>
      <c r="Q54" s="4">
        <f t="shared" si="3"/>
        <v>0.3</v>
      </c>
      <c r="R54" s="263">
        <f>+Q54*('Jerarq. Riesgos Plazo'!$M$67+1)</f>
        <v>0.41324380046173803</v>
      </c>
      <c r="S54" s="34">
        <f>+T54*(-'Jerarq. Riesgos Costos'!$P$72+1)</f>
        <v>720000</v>
      </c>
      <c r="T54" s="203">
        <f t="shared" si="18"/>
        <v>900000</v>
      </c>
      <c r="U54" s="34">
        <f>+T54*('Jerarq. Riesgos Costos'!$Q$72+1)</f>
        <v>1192466.3181073337</v>
      </c>
      <c r="V54" s="29"/>
      <c r="W54" s="4">
        <v>0.3</v>
      </c>
      <c r="X54" s="256">
        <f>+W54*('Jerarq. Riesgos Plazo'!$M$65/100+1)</f>
        <v>0.30035861069946618</v>
      </c>
      <c r="Y54" s="29"/>
      <c r="Z54" s="4"/>
      <c r="AA54" s="30"/>
      <c r="AB54" s="29"/>
      <c r="AC54" s="4">
        <v>0.3</v>
      </c>
      <c r="AD54" s="256">
        <f>+AC54*('Jerarq. Riesgos Plazo'!$M$65/100+1)</f>
        <v>0.30035861069946618</v>
      </c>
      <c r="AE54" s="29"/>
      <c r="AF54" s="4"/>
      <c r="AG54" s="30"/>
    </row>
    <row r="55" spans="2:33" ht="18" hidden="1" x14ac:dyDescent="0.25">
      <c r="B55" s="335" t="s">
        <v>470</v>
      </c>
      <c r="C55" s="115" t="s">
        <v>697</v>
      </c>
      <c r="D55" s="112" t="s">
        <v>477</v>
      </c>
      <c r="E55" s="113" t="s">
        <v>453</v>
      </c>
      <c r="F55" s="113">
        <v>1</v>
      </c>
      <c r="G55" s="265">
        <v>0.3</v>
      </c>
      <c r="H55" s="114">
        <v>150000</v>
      </c>
      <c r="I55" s="325">
        <f t="shared" si="21"/>
        <v>150000</v>
      </c>
      <c r="J55" s="29">
        <v>0.25</v>
      </c>
      <c r="K55" s="4">
        <v>0.3</v>
      </c>
      <c r="L55" s="290">
        <f>+K55*('Jerarq. Riesgos Plazo'!$M$65+1)</f>
        <v>0.33586106994662251</v>
      </c>
      <c r="M55" s="64">
        <f>+N55*(-'Jerarq. Riesgos Costos'!$J$71+1)</f>
        <v>135000</v>
      </c>
      <c r="N55" s="203">
        <f t="shared" si="19"/>
        <v>150000</v>
      </c>
      <c r="O55" s="49">
        <f>+N55*('Jerarq. Riesgos Costos'!$K$78+1)</f>
        <v>187311.09658780557</v>
      </c>
      <c r="P55" s="29"/>
      <c r="Q55" s="4">
        <f t="shared" si="3"/>
        <v>0.3</v>
      </c>
      <c r="R55" s="263">
        <f>+Q55*('Jerarq. Riesgos Plazo'!$M$67+1)</f>
        <v>0.41324380046173803</v>
      </c>
      <c r="S55" s="34">
        <f>+T55*(-'Jerarq. Riesgos Costos'!$P$72+1)</f>
        <v>120000</v>
      </c>
      <c r="T55" s="203">
        <f t="shared" si="18"/>
        <v>150000</v>
      </c>
      <c r="U55" s="34">
        <f>+T55*('Jerarq. Riesgos Costos'!$Q$72+1)</f>
        <v>198744.38635122229</v>
      </c>
      <c r="V55" s="29"/>
      <c r="W55" s="4">
        <v>0.3</v>
      </c>
      <c r="X55" s="256">
        <f>+W55*('Jerarq. Riesgos Plazo'!$M$65/100+1)</f>
        <v>0.30035861069946618</v>
      </c>
      <c r="Y55" s="29"/>
      <c r="Z55" s="4"/>
      <c r="AA55" s="30"/>
      <c r="AB55" s="29"/>
      <c r="AC55" s="4">
        <v>0.3</v>
      </c>
      <c r="AD55" s="256">
        <f>+AC55*('Jerarq. Riesgos Plazo'!$M$65/100+1)</f>
        <v>0.30035861069946618</v>
      </c>
      <c r="AE55" s="29"/>
      <c r="AF55" s="4"/>
      <c r="AG55" s="30"/>
    </row>
    <row r="56" spans="2:33" ht="18" hidden="1" x14ac:dyDescent="0.25">
      <c r="B56" s="335" t="s">
        <v>470</v>
      </c>
      <c r="C56" s="115" t="s">
        <v>698</v>
      </c>
      <c r="D56" s="112" t="s">
        <v>478</v>
      </c>
      <c r="E56" s="113" t="s">
        <v>453</v>
      </c>
      <c r="F56" s="113">
        <v>5</v>
      </c>
      <c r="G56" s="265">
        <v>0.7</v>
      </c>
      <c r="H56" s="114">
        <v>432250</v>
      </c>
      <c r="I56" s="325">
        <f t="shared" si="21"/>
        <v>2161250</v>
      </c>
      <c r="J56" s="29">
        <v>0.6</v>
      </c>
      <c r="K56" s="4">
        <v>0.7</v>
      </c>
      <c r="L56" s="290">
        <f>+K56*('Jerarq. Riesgos Plazo'!$M$65+1)</f>
        <v>0.78367582987545259</v>
      </c>
      <c r="M56" s="64">
        <f>+N56*(-'Jerarq. Riesgos Costos'!$J$71+1)</f>
        <v>1945125</v>
      </c>
      <c r="N56" s="203">
        <f t="shared" si="19"/>
        <v>2161250</v>
      </c>
      <c r="O56" s="49">
        <f>+N56*('Jerarq. Riesgos Costos'!$K$78+1)</f>
        <v>2698840.7166692987</v>
      </c>
      <c r="P56" s="29"/>
      <c r="Q56" s="4">
        <f t="shared" si="3"/>
        <v>0.7</v>
      </c>
      <c r="R56" s="263">
        <f>+Q56*('Jerarq. Riesgos Plazo'!$M$67+1)</f>
        <v>0.96423553441072196</v>
      </c>
      <c r="S56" s="34">
        <f>+T56*(-'Jerarq. Riesgos Costos'!$P$72+1)</f>
        <v>1729000</v>
      </c>
      <c r="T56" s="203">
        <f t="shared" si="18"/>
        <v>2161250</v>
      </c>
      <c r="U56" s="34">
        <f>+T56*('Jerarq. Riesgos Costos'!$Q$72+1)</f>
        <v>2863575.3666771948</v>
      </c>
      <c r="V56" s="29"/>
      <c r="W56" s="4">
        <v>0.7</v>
      </c>
      <c r="X56" s="256">
        <f>+W56*('Jerarq. Riesgos Plazo'!$M$65/100+1)</f>
        <v>0.70083675829875447</v>
      </c>
      <c r="Y56" s="29"/>
      <c r="Z56" s="4"/>
      <c r="AA56" s="30"/>
      <c r="AB56" s="29"/>
      <c r="AC56" s="4">
        <v>0.7</v>
      </c>
      <c r="AD56" s="256">
        <f>+AC56*('Jerarq. Riesgos Plazo'!$M$65/100+1)</f>
        <v>0.70083675829875447</v>
      </c>
      <c r="AE56" s="29"/>
      <c r="AF56" s="4"/>
      <c r="AG56" s="30"/>
    </row>
    <row r="57" spans="2:33" ht="18" hidden="1" x14ac:dyDescent="0.25">
      <c r="B57" s="335" t="s">
        <v>470</v>
      </c>
      <c r="C57" s="115" t="s">
        <v>699</v>
      </c>
      <c r="D57" s="112" t="s">
        <v>658</v>
      </c>
      <c r="E57" s="113" t="s">
        <v>453</v>
      </c>
      <c r="F57" s="113">
        <v>1</v>
      </c>
      <c r="G57" s="265">
        <v>0.2</v>
      </c>
      <c r="H57" s="114">
        <v>300000</v>
      </c>
      <c r="I57" s="325">
        <f t="shared" si="21"/>
        <v>300000</v>
      </c>
      <c r="J57" s="296">
        <v>0.1</v>
      </c>
      <c r="K57" s="4">
        <v>0.2</v>
      </c>
      <c r="L57" s="290">
        <f>+K57*('Jerarq. Riesgos Plazo'!$M$65+1)</f>
        <v>0.22390737996441504</v>
      </c>
      <c r="M57" s="64">
        <f>+N57*(-'Jerarq. Riesgos Costos'!$J$71+1)</f>
        <v>270000</v>
      </c>
      <c r="N57" s="203">
        <f t="shared" si="19"/>
        <v>300000</v>
      </c>
      <c r="O57" s="49">
        <f>+N57*('Jerarq. Riesgos Costos'!$K$78+1)</f>
        <v>374622.19317561114</v>
      </c>
      <c r="P57" s="29"/>
      <c r="Q57" s="4">
        <f t="shared" si="3"/>
        <v>0.2</v>
      </c>
      <c r="R57" s="263">
        <f>+Q57*('Jerarq. Riesgos Plazo'!$M$67+1)</f>
        <v>0.27549586697449202</v>
      </c>
      <c r="S57" s="34">
        <f>+T57*(-'Jerarq. Riesgos Costos'!$P$72+1)</f>
        <v>240000</v>
      </c>
      <c r="T57" s="203">
        <f t="shared" si="18"/>
        <v>300000</v>
      </c>
      <c r="U57" s="34">
        <f>+T57*('Jerarq. Riesgos Costos'!$Q$72+1)</f>
        <v>397488.77270244458</v>
      </c>
      <c r="V57" s="29"/>
      <c r="W57" s="4">
        <v>0.2</v>
      </c>
      <c r="X57" s="256">
        <f>+W57*('Jerarq. Riesgos Plazo'!$M$65/100+1)</f>
        <v>0.20023907379964415</v>
      </c>
      <c r="Y57" s="29"/>
      <c r="Z57" s="4"/>
      <c r="AA57" s="30"/>
      <c r="AB57" s="29"/>
      <c r="AC57" s="4">
        <v>0.2</v>
      </c>
      <c r="AD57" s="256">
        <f>+AC57*('Jerarq. Riesgos Plazo'!$M$65/100+1)</f>
        <v>0.20023907379964415</v>
      </c>
      <c r="AE57" s="29"/>
      <c r="AF57" s="4"/>
      <c r="AG57" s="30"/>
    </row>
    <row r="58" spans="2:33" ht="18" hidden="1" x14ac:dyDescent="0.25">
      <c r="B58" s="335" t="s">
        <v>470</v>
      </c>
      <c r="C58" s="115" t="s">
        <v>700</v>
      </c>
      <c r="D58" s="112" t="s">
        <v>479</v>
      </c>
      <c r="E58" s="113" t="s">
        <v>453</v>
      </c>
      <c r="F58" s="113">
        <v>1</v>
      </c>
      <c r="G58" s="265">
        <v>0.4</v>
      </c>
      <c r="H58" s="114">
        <v>2600000</v>
      </c>
      <c r="I58" s="325">
        <f t="shared" si="21"/>
        <v>2600000</v>
      </c>
      <c r="J58" s="29">
        <v>0.35</v>
      </c>
      <c r="K58" s="4">
        <v>0.4</v>
      </c>
      <c r="L58" s="290">
        <f>+K58*('Jerarq. Riesgos Plazo'!$M$65+1)</f>
        <v>0.44781475992883008</v>
      </c>
      <c r="M58" s="64">
        <f>+N58*(-'Jerarq. Riesgos Costos'!$J$71+1)</f>
        <v>2340000</v>
      </c>
      <c r="N58" s="203">
        <f t="shared" si="19"/>
        <v>2600000</v>
      </c>
      <c r="O58" s="49">
        <f>+N58*('Jerarq. Riesgos Costos'!$K$78+1)</f>
        <v>3246725.6741886302</v>
      </c>
      <c r="P58" s="29"/>
      <c r="Q58" s="4">
        <f t="shared" si="3"/>
        <v>0.4</v>
      </c>
      <c r="R58" s="263">
        <f>+Q58*('Jerarq. Riesgos Plazo'!$M$67+1)</f>
        <v>0.55099173394898404</v>
      </c>
      <c r="S58" s="34">
        <f>+T58*(-'Jerarq. Riesgos Costos'!$P$72+1)</f>
        <v>2080000</v>
      </c>
      <c r="T58" s="203">
        <f t="shared" si="18"/>
        <v>2600000</v>
      </c>
      <c r="U58" s="34">
        <f>+T58*('Jerarq. Riesgos Costos'!$Q$72+1)</f>
        <v>3444902.6967545198</v>
      </c>
      <c r="V58" s="29"/>
      <c r="W58" s="4">
        <v>0.4</v>
      </c>
      <c r="X58" s="256">
        <f>+W58*('Jerarq. Riesgos Plazo'!$M$65/100+1)</f>
        <v>0.40047814759928829</v>
      </c>
      <c r="Y58" s="29"/>
      <c r="Z58" s="4"/>
      <c r="AA58" s="30"/>
      <c r="AB58" s="29"/>
      <c r="AC58" s="4">
        <v>0.4</v>
      </c>
      <c r="AD58" s="256">
        <f>+AC58*('Jerarq. Riesgos Plazo'!$M$65/100+1)</f>
        <v>0.40047814759928829</v>
      </c>
      <c r="AE58" s="29"/>
      <c r="AF58" s="4"/>
      <c r="AG58" s="30"/>
    </row>
    <row r="59" spans="2:33" ht="18" hidden="1" x14ac:dyDescent="0.25">
      <c r="B59" s="335" t="s">
        <v>470</v>
      </c>
      <c r="C59" s="115" t="s">
        <v>701</v>
      </c>
      <c r="D59" s="112" t="s">
        <v>480</v>
      </c>
      <c r="E59" s="113" t="s">
        <v>453</v>
      </c>
      <c r="F59" s="113">
        <v>1</v>
      </c>
      <c r="G59" s="265">
        <v>0.4</v>
      </c>
      <c r="H59" s="114">
        <v>7425000</v>
      </c>
      <c r="I59" s="325">
        <f t="shared" si="21"/>
        <v>7425000</v>
      </c>
      <c r="J59" s="29">
        <v>0.36</v>
      </c>
      <c r="K59" s="4">
        <v>0.4</v>
      </c>
      <c r="L59" s="290">
        <f>+K59*('Jerarq. Riesgos Plazo'!$M$65+1)</f>
        <v>0.44781475992883008</v>
      </c>
      <c r="M59" s="64">
        <f>+N59*(-'Jerarq. Riesgos Costos'!$J$71+1)</f>
        <v>6682500</v>
      </c>
      <c r="N59" s="203">
        <f t="shared" si="19"/>
        <v>7425000</v>
      </c>
      <c r="O59" s="49">
        <f>+N59*('Jerarq. Riesgos Costos'!$K$78+1)</f>
        <v>9271899.2810963765</v>
      </c>
      <c r="P59" s="29"/>
      <c r="Q59" s="4">
        <f t="shared" si="3"/>
        <v>0.4</v>
      </c>
      <c r="R59" s="263">
        <f>+Q59*('Jerarq. Riesgos Plazo'!$M$67+1)</f>
        <v>0.55099173394898404</v>
      </c>
      <c r="S59" s="34">
        <f>+T59*(-'Jerarq. Riesgos Costos'!$P$72+1)</f>
        <v>5940000</v>
      </c>
      <c r="T59" s="203">
        <f t="shared" si="18"/>
        <v>7425000</v>
      </c>
      <c r="U59" s="34">
        <f>+T59*('Jerarq. Riesgos Costos'!$Q$72+1)</f>
        <v>9837847.1243855041</v>
      </c>
      <c r="V59" s="29"/>
      <c r="W59" s="4">
        <v>0.4</v>
      </c>
      <c r="X59" s="256">
        <f>+W59*('Jerarq. Riesgos Plazo'!$M$65/100+1)</f>
        <v>0.40047814759928829</v>
      </c>
      <c r="Y59" s="29"/>
      <c r="Z59" s="4"/>
      <c r="AA59" s="30"/>
      <c r="AB59" s="29"/>
      <c r="AC59" s="4">
        <v>0.4</v>
      </c>
      <c r="AD59" s="256">
        <f>+AC59*('Jerarq. Riesgos Plazo'!$M$65/100+1)</f>
        <v>0.40047814759928829</v>
      </c>
      <c r="AE59" s="29"/>
      <c r="AF59" s="4"/>
      <c r="AG59" s="30"/>
    </row>
    <row r="60" spans="2:33" ht="18" hidden="1" x14ac:dyDescent="0.25">
      <c r="B60" s="335" t="s">
        <v>470</v>
      </c>
      <c r="C60" s="115" t="s">
        <v>702</v>
      </c>
      <c r="D60" s="112" t="s">
        <v>481</v>
      </c>
      <c r="E60" s="113" t="s">
        <v>453</v>
      </c>
      <c r="F60" s="113">
        <v>34</v>
      </c>
      <c r="G60" s="265">
        <v>4</v>
      </c>
      <c r="H60" s="114">
        <v>122000</v>
      </c>
      <c r="I60" s="325">
        <f t="shared" si="21"/>
        <v>4148000</v>
      </c>
      <c r="J60" s="29">
        <v>3.5</v>
      </c>
      <c r="K60" s="4">
        <v>4</v>
      </c>
      <c r="L60" s="290">
        <f>+K60*('Jerarq. Riesgos Plazo'!$M$65+1)</f>
        <v>4.4781475992883006</v>
      </c>
      <c r="M60" s="64">
        <f>+N60*(-'Jerarq. Riesgos Costos'!$J$71+1)</f>
        <v>3733200</v>
      </c>
      <c r="N60" s="203">
        <f t="shared" si="19"/>
        <v>4148000</v>
      </c>
      <c r="O60" s="49">
        <f>+N60*('Jerarq. Riesgos Costos'!$K$78+1)</f>
        <v>5179776.1909747841</v>
      </c>
      <c r="P60" s="29"/>
      <c r="Q60" s="4">
        <f t="shared" si="3"/>
        <v>4</v>
      </c>
      <c r="R60" s="263">
        <f>+Q60*('Jerarq. Riesgos Plazo'!$M$67+1)</f>
        <v>5.5099173394898404</v>
      </c>
      <c r="S60" s="34">
        <f>+T60*(-'Jerarq. Riesgos Costos'!$P$72+1)</f>
        <v>3318400</v>
      </c>
      <c r="T60" s="203">
        <f t="shared" si="18"/>
        <v>4148000</v>
      </c>
      <c r="U60" s="34">
        <f>+T60*('Jerarq. Riesgos Costos'!$Q$72+1)</f>
        <v>5495944.7638991345</v>
      </c>
      <c r="V60" s="29"/>
      <c r="W60" s="4">
        <v>4</v>
      </c>
      <c r="X60" s="256">
        <f>+W60*('Jerarq. Riesgos Plazo'!$M$65/100+1)</f>
        <v>4.0047814759928828</v>
      </c>
      <c r="Y60" s="29"/>
      <c r="Z60" s="4"/>
      <c r="AA60" s="30"/>
      <c r="AB60" s="29"/>
      <c r="AC60" s="4">
        <v>4</v>
      </c>
      <c r="AD60" s="256">
        <f>+AC60*('Jerarq. Riesgos Plazo'!$M$65/100+1)</f>
        <v>4.0047814759928828</v>
      </c>
      <c r="AE60" s="29"/>
      <c r="AF60" s="4"/>
      <c r="AG60" s="30"/>
    </row>
    <row r="61" spans="2:33" ht="18" hidden="1" x14ac:dyDescent="0.25">
      <c r="B61" s="335" t="s">
        <v>470</v>
      </c>
      <c r="C61" s="115" t="s">
        <v>703</v>
      </c>
      <c r="D61" s="112" t="s">
        <v>659</v>
      </c>
      <c r="E61" s="113" t="s">
        <v>453</v>
      </c>
      <c r="F61" s="113">
        <v>2</v>
      </c>
      <c r="G61" s="265">
        <v>0.2</v>
      </c>
      <c r="H61" s="114">
        <v>115900</v>
      </c>
      <c r="I61" s="325">
        <f t="shared" si="21"/>
        <v>231800</v>
      </c>
      <c r="J61" s="29">
        <v>0.1</v>
      </c>
      <c r="K61" s="4">
        <v>0.2</v>
      </c>
      <c r="L61" s="290">
        <f>+K61*('Jerarq. Riesgos Plazo'!$M$65+1)</f>
        <v>0.22390737996441504</v>
      </c>
      <c r="M61" s="64">
        <f>+N61*(-'Jerarq. Riesgos Costos'!$J$71+1)</f>
        <v>208620</v>
      </c>
      <c r="N61" s="203">
        <f t="shared" si="19"/>
        <v>231800</v>
      </c>
      <c r="O61" s="49">
        <f>+N61*('Jerarq. Riesgos Costos'!$K$78+1)</f>
        <v>289458.08126035554</v>
      </c>
      <c r="P61" s="29"/>
      <c r="Q61" s="4">
        <f t="shared" si="3"/>
        <v>0.2</v>
      </c>
      <c r="R61" s="263">
        <f>+Q61*('Jerarq. Riesgos Plazo'!$M$67+1)</f>
        <v>0.27549586697449202</v>
      </c>
      <c r="S61" s="34">
        <f>+T61*(-'Jerarq. Riesgos Costos'!$P$72+1)</f>
        <v>185440</v>
      </c>
      <c r="T61" s="203">
        <f t="shared" si="18"/>
        <v>231800</v>
      </c>
      <c r="U61" s="34">
        <f>+T61*('Jerarq. Riesgos Costos'!$Q$72+1)</f>
        <v>307126.32504142221</v>
      </c>
      <c r="V61" s="29"/>
      <c r="W61" s="4">
        <v>0.2</v>
      </c>
      <c r="X61" s="256">
        <f>+W61*('Jerarq. Riesgos Plazo'!$M$65/100+1)</f>
        <v>0.20023907379964415</v>
      </c>
      <c r="Y61" s="29"/>
      <c r="Z61" s="4"/>
      <c r="AA61" s="30"/>
      <c r="AB61" s="29"/>
      <c r="AC61" s="4">
        <v>0.2</v>
      </c>
      <c r="AD61" s="256">
        <f>+AC61*('Jerarq. Riesgos Plazo'!$M$65/100+1)</f>
        <v>0.20023907379964415</v>
      </c>
      <c r="AE61" s="29"/>
      <c r="AF61" s="4"/>
      <c r="AG61" s="30"/>
    </row>
    <row r="62" spans="2:33" ht="18" hidden="1" x14ac:dyDescent="0.25">
      <c r="B62" s="335" t="s">
        <v>470</v>
      </c>
      <c r="C62" s="115" t="s">
        <v>704</v>
      </c>
      <c r="D62" s="112" t="s">
        <v>660</v>
      </c>
      <c r="E62" s="113" t="s">
        <v>453</v>
      </c>
      <c r="F62" s="113">
        <v>17</v>
      </c>
      <c r="G62" s="265">
        <v>0.1</v>
      </c>
      <c r="H62" s="114">
        <v>18300</v>
      </c>
      <c r="I62" s="325">
        <f t="shared" si="21"/>
        <v>311100</v>
      </c>
      <c r="J62" s="29">
        <v>7.0000000000000007E-2</v>
      </c>
      <c r="K62" s="4">
        <v>0.1</v>
      </c>
      <c r="L62" s="290">
        <f>+K62*('Jerarq. Riesgos Plazo'!$M$65+1)</f>
        <v>0.11195368998220752</v>
      </c>
      <c r="M62" s="64">
        <f>+N62*(-'Jerarq. Riesgos Costos'!$J$71+1)</f>
        <v>279990</v>
      </c>
      <c r="N62" s="203">
        <f t="shared" si="19"/>
        <v>311100</v>
      </c>
      <c r="O62" s="49">
        <f>+N62*('Jerarq. Riesgos Costos'!$K$78+1)</f>
        <v>388483.21432310878</v>
      </c>
      <c r="P62" s="29"/>
      <c r="Q62" s="4">
        <f t="shared" si="3"/>
        <v>0.1</v>
      </c>
      <c r="R62" s="263">
        <f>+Q62*('Jerarq. Riesgos Plazo'!$M$67+1)</f>
        <v>0.13774793348724601</v>
      </c>
      <c r="S62" s="34">
        <f>+T62*(-'Jerarq. Riesgos Costos'!$P$72+1)</f>
        <v>248880</v>
      </c>
      <c r="T62" s="203">
        <f t="shared" si="18"/>
        <v>311100</v>
      </c>
      <c r="U62" s="34">
        <f>+T62*('Jerarq. Riesgos Costos'!$Q$72+1)</f>
        <v>412195.85729243507</v>
      </c>
      <c r="V62" s="29"/>
      <c r="W62" s="4">
        <v>0.1</v>
      </c>
      <c r="X62" s="256">
        <f>+W62*('Jerarq. Riesgos Plazo'!$M$65/100+1)</f>
        <v>0.10011953689982207</v>
      </c>
      <c r="Y62" s="29"/>
      <c r="Z62" s="4"/>
      <c r="AA62" s="30"/>
      <c r="AB62" s="29"/>
      <c r="AC62" s="4">
        <v>0.1</v>
      </c>
      <c r="AD62" s="256">
        <f>+AC62*('Jerarq. Riesgos Plazo'!$M$65/100+1)</f>
        <v>0.10011953689982207</v>
      </c>
      <c r="AE62" s="29"/>
      <c r="AF62" s="4"/>
      <c r="AG62" s="30"/>
    </row>
    <row r="63" spans="2:33" ht="18" hidden="1" x14ac:dyDescent="0.25">
      <c r="B63" s="335" t="s">
        <v>470</v>
      </c>
      <c r="C63" s="115" t="s">
        <v>705</v>
      </c>
      <c r="D63" s="112" t="s">
        <v>482</v>
      </c>
      <c r="E63" s="113" t="s">
        <v>453</v>
      </c>
      <c r="F63" s="113">
        <v>51</v>
      </c>
      <c r="G63" s="265">
        <v>0.2</v>
      </c>
      <c r="H63" s="114">
        <v>18300</v>
      </c>
      <c r="I63" s="325">
        <f t="shared" si="21"/>
        <v>933300</v>
      </c>
      <c r="J63" s="29"/>
      <c r="K63" s="4">
        <v>0.2</v>
      </c>
      <c r="L63" s="290">
        <f>+K63*('Jerarq. Riesgos Plazo'!$M$65+1)</f>
        <v>0.22390737996441504</v>
      </c>
      <c r="M63" s="64">
        <f>+N63*(-'Jerarq. Riesgos Costos'!$J$71+1)</f>
        <v>839970</v>
      </c>
      <c r="N63" s="203">
        <f t="shared" si="19"/>
        <v>933300</v>
      </c>
      <c r="O63" s="49">
        <f>+N63*('Jerarq. Riesgos Costos'!$K$78+1)</f>
        <v>1165449.6429693263</v>
      </c>
      <c r="P63" s="29"/>
      <c r="Q63" s="4">
        <f t="shared" si="3"/>
        <v>0.2</v>
      </c>
      <c r="R63" s="263">
        <f>+Q63*('Jerarq. Riesgos Plazo'!$M$67+1)</f>
        <v>0.27549586697449202</v>
      </c>
      <c r="S63" s="34">
        <f>+T63*(-'Jerarq. Riesgos Costos'!$P$72+1)</f>
        <v>746640</v>
      </c>
      <c r="T63" s="203">
        <f t="shared" si="18"/>
        <v>933300</v>
      </c>
      <c r="U63" s="34">
        <f>+T63*('Jerarq. Riesgos Costos'!$Q$72+1)</f>
        <v>1236587.5718773052</v>
      </c>
      <c r="V63" s="29"/>
      <c r="W63" s="4">
        <v>0.2</v>
      </c>
      <c r="X63" s="256">
        <f>+W63*('Jerarq. Riesgos Plazo'!$M$65/100+1)</f>
        <v>0.20023907379964415</v>
      </c>
      <c r="Y63" s="29"/>
      <c r="Z63" s="4"/>
      <c r="AA63" s="30"/>
      <c r="AB63" s="29"/>
      <c r="AC63" s="4">
        <v>0.2</v>
      </c>
      <c r="AD63" s="256">
        <f>+AC63*('Jerarq. Riesgos Plazo'!$M$65/100+1)</f>
        <v>0.20023907379964415</v>
      </c>
      <c r="AE63" s="29"/>
      <c r="AF63" s="4"/>
      <c r="AG63" s="30"/>
    </row>
    <row r="64" spans="2:33" ht="18" hidden="1" x14ac:dyDescent="0.25">
      <c r="B64" s="335" t="s">
        <v>470</v>
      </c>
      <c r="C64" s="115" t="s">
        <v>706</v>
      </c>
      <c r="D64" s="112" t="s">
        <v>483</v>
      </c>
      <c r="E64" s="113" t="s">
        <v>453</v>
      </c>
      <c r="F64" s="113">
        <v>13</v>
      </c>
      <c r="G64" s="265">
        <v>0.3</v>
      </c>
      <c r="H64" s="114">
        <v>152500</v>
      </c>
      <c r="I64" s="325">
        <f t="shared" si="21"/>
        <v>1982500</v>
      </c>
      <c r="J64" s="29"/>
      <c r="K64" s="4">
        <v>0.3</v>
      </c>
      <c r="L64" s="290">
        <f>+K64*('Jerarq. Riesgos Plazo'!$M$65+1)</f>
        <v>0.33586106994662251</v>
      </c>
      <c r="M64" s="64">
        <f>+N64*(-'Jerarq. Riesgos Costos'!$J$71+1)</f>
        <v>1784250</v>
      </c>
      <c r="N64" s="203">
        <f t="shared" si="19"/>
        <v>1982500</v>
      </c>
      <c r="O64" s="49">
        <f>+N64*('Jerarq. Riesgos Costos'!$K$78+1)</f>
        <v>2475628.3265688303</v>
      </c>
      <c r="P64" s="29"/>
      <c r="Q64" s="4">
        <f t="shared" si="3"/>
        <v>0.3</v>
      </c>
      <c r="R64" s="263">
        <f>+Q64*('Jerarq. Riesgos Plazo'!$M$67+1)</f>
        <v>0.41324380046173803</v>
      </c>
      <c r="S64" s="34">
        <f>+T64*(-'Jerarq. Riesgos Costos'!$P$72+1)</f>
        <v>1586000</v>
      </c>
      <c r="T64" s="203">
        <f t="shared" si="18"/>
        <v>1982500</v>
      </c>
      <c r="U64" s="34">
        <f>+T64*('Jerarq. Riesgos Costos'!$Q$72+1)</f>
        <v>2626738.3062753216</v>
      </c>
      <c r="V64" s="29"/>
      <c r="W64" s="4">
        <v>0.3</v>
      </c>
      <c r="X64" s="256">
        <f>+W64*('Jerarq. Riesgos Plazo'!$M$65/100+1)</f>
        <v>0.30035861069946618</v>
      </c>
      <c r="Y64" s="29"/>
      <c r="Z64" s="4"/>
      <c r="AA64" s="30"/>
      <c r="AB64" s="29"/>
      <c r="AC64" s="4">
        <v>0.3</v>
      </c>
      <c r="AD64" s="256">
        <f>+AC64*('Jerarq. Riesgos Plazo'!$M$65/100+1)</f>
        <v>0.30035861069946618</v>
      </c>
      <c r="AE64" s="29"/>
      <c r="AF64" s="4"/>
      <c r="AG64" s="30"/>
    </row>
    <row r="65" spans="2:33" ht="18" hidden="1" x14ac:dyDescent="0.25">
      <c r="B65" s="335" t="s">
        <v>470</v>
      </c>
      <c r="C65" s="115" t="s">
        <v>707</v>
      </c>
      <c r="D65" s="112" t="s">
        <v>484</v>
      </c>
      <c r="E65" s="113" t="s">
        <v>453</v>
      </c>
      <c r="F65" s="113">
        <v>68</v>
      </c>
      <c r="G65" s="265">
        <v>0.5</v>
      </c>
      <c r="H65" s="114">
        <v>15250</v>
      </c>
      <c r="I65" s="325">
        <f t="shared" si="21"/>
        <v>1037000</v>
      </c>
      <c r="J65" s="29"/>
      <c r="K65" s="4">
        <v>0.5</v>
      </c>
      <c r="L65" s="290">
        <f>+K65*('Jerarq. Riesgos Plazo'!$M$65+1)</f>
        <v>0.55976844991103758</v>
      </c>
      <c r="M65" s="64">
        <f>+N65*(-'Jerarq. Riesgos Costos'!$J$71+1)</f>
        <v>933300</v>
      </c>
      <c r="N65" s="203">
        <f t="shared" si="19"/>
        <v>1037000</v>
      </c>
      <c r="O65" s="49">
        <f>+N65*('Jerarq. Riesgos Costos'!$K$78+1)</f>
        <v>1294944.047743696</v>
      </c>
      <c r="P65" s="29"/>
      <c r="Q65" s="4">
        <f t="shared" si="3"/>
        <v>0.5</v>
      </c>
      <c r="R65" s="263">
        <f>+Q65*('Jerarq. Riesgos Plazo'!$M$67+1)</f>
        <v>0.68873966743623005</v>
      </c>
      <c r="S65" s="34">
        <f>+T65*(-'Jerarq. Riesgos Costos'!$P$72+1)</f>
        <v>829600</v>
      </c>
      <c r="T65" s="203">
        <f t="shared" si="18"/>
        <v>1037000</v>
      </c>
      <c r="U65" s="34">
        <f>+T65*('Jerarq. Riesgos Costos'!$Q$72+1)</f>
        <v>1373986.1909747836</v>
      </c>
      <c r="V65" s="29"/>
      <c r="W65" s="4">
        <v>0.5</v>
      </c>
      <c r="X65" s="256">
        <f>+W65*('Jerarq. Riesgos Plazo'!$M$65/100+1)</f>
        <v>0.50059768449911035</v>
      </c>
      <c r="Y65" s="29"/>
      <c r="Z65" s="4"/>
      <c r="AA65" s="30"/>
      <c r="AB65" s="29"/>
      <c r="AC65" s="4">
        <v>0.5</v>
      </c>
      <c r="AD65" s="256">
        <f>+AC65*('Jerarq. Riesgos Plazo'!$M$65/100+1)</f>
        <v>0.50059768449911035</v>
      </c>
      <c r="AE65" s="29"/>
      <c r="AF65" s="4"/>
      <c r="AG65" s="30"/>
    </row>
    <row r="66" spans="2:33" ht="18" hidden="1" x14ac:dyDescent="0.25">
      <c r="B66" s="335" t="s">
        <v>470</v>
      </c>
      <c r="C66" s="115" t="s">
        <v>708</v>
      </c>
      <c r="D66" s="112" t="s">
        <v>661</v>
      </c>
      <c r="E66" s="113" t="s">
        <v>453</v>
      </c>
      <c r="F66" s="113">
        <v>4</v>
      </c>
      <c r="G66" s="265">
        <v>2</v>
      </c>
      <c r="H66" s="114">
        <v>115900</v>
      </c>
      <c r="I66" s="325">
        <f t="shared" si="21"/>
        <v>463600</v>
      </c>
      <c r="J66" s="29"/>
      <c r="K66" s="4">
        <v>2</v>
      </c>
      <c r="L66" s="290">
        <f>+K66*('Jerarq. Riesgos Plazo'!$M$65+1)</f>
        <v>2.2390737996441503</v>
      </c>
      <c r="M66" s="64">
        <f>+N66*(-'Jerarq. Riesgos Costos'!$J$71+1)</f>
        <v>417240</v>
      </c>
      <c r="N66" s="203">
        <f t="shared" si="19"/>
        <v>463600</v>
      </c>
      <c r="O66" s="49">
        <f>+N66*('Jerarq. Riesgos Costos'!$K$78+1)</f>
        <v>578916.16252071108</v>
      </c>
      <c r="P66" s="29"/>
      <c r="Q66" s="4">
        <f t="shared" si="3"/>
        <v>2</v>
      </c>
      <c r="R66" s="263">
        <f>+Q66*('Jerarq. Riesgos Plazo'!$M$67+1)</f>
        <v>2.7549586697449202</v>
      </c>
      <c r="S66" s="34">
        <f>+T66*(-'Jerarq. Riesgos Costos'!$P$72+1)</f>
        <v>370880</v>
      </c>
      <c r="T66" s="203">
        <f t="shared" si="18"/>
        <v>463600</v>
      </c>
      <c r="U66" s="34">
        <f>+T66*('Jerarq. Riesgos Costos'!$Q$72+1)</f>
        <v>614252.65008284443</v>
      </c>
      <c r="V66" s="29"/>
      <c r="W66" s="4">
        <v>2</v>
      </c>
      <c r="X66" s="256">
        <f>+W66*('Jerarq. Riesgos Plazo'!$M$65/100+1)</f>
        <v>2.0023907379964414</v>
      </c>
      <c r="Y66" s="29"/>
      <c r="Z66" s="4"/>
      <c r="AA66" s="30"/>
      <c r="AB66" s="29"/>
      <c r="AC66" s="4">
        <v>2</v>
      </c>
      <c r="AD66" s="256">
        <f>+AC66*('Jerarq. Riesgos Plazo'!$M$65/100+1)</f>
        <v>2.0023907379964414</v>
      </c>
      <c r="AE66" s="29"/>
      <c r="AF66" s="4"/>
      <c r="AG66" s="30"/>
    </row>
    <row r="67" spans="2:33" ht="18" hidden="1" x14ac:dyDescent="0.25">
      <c r="B67" s="335" t="s">
        <v>470</v>
      </c>
      <c r="C67" s="115" t="s">
        <v>709</v>
      </c>
      <c r="D67" s="112" t="s">
        <v>485</v>
      </c>
      <c r="E67" s="113" t="s">
        <v>472</v>
      </c>
      <c r="F67" s="113">
        <v>264</v>
      </c>
      <c r="G67" s="265">
        <v>2</v>
      </c>
      <c r="H67" s="114">
        <v>105000</v>
      </c>
      <c r="I67" s="325">
        <f t="shared" si="21"/>
        <v>27720000</v>
      </c>
      <c r="J67" s="29"/>
      <c r="K67" s="4">
        <v>2</v>
      </c>
      <c r="L67" s="290">
        <f>+K67*('Jerarq. Riesgos Plazo'!$M$65+1)</f>
        <v>2.2390737996441503</v>
      </c>
      <c r="M67" s="64">
        <f>+N67*(-'Jerarq. Riesgos Costos'!$J$71+1)</f>
        <v>24948000</v>
      </c>
      <c r="N67" s="203">
        <f t="shared" si="19"/>
        <v>27720000</v>
      </c>
      <c r="O67" s="49">
        <f>+N67*('Jerarq. Riesgos Costos'!$K$78+1)</f>
        <v>34615090.649426468</v>
      </c>
      <c r="P67" s="29"/>
      <c r="Q67" s="4">
        <f t="shared" si="3"/>
        <v>2</v>
      </c>
      <c r="R67" s="263">
        <f>+Q67*('Jerarq. Riesgos Plazo'!$M$67+1)</f>
        <v>2.7549586697449202</v>
      </c>
      <c r="S67" s="34">
        <f>+T67*(-'Jerarq. Riesgos Costos'!$P$72+1)</f>
        <v>22176000</v>
      </c>
      <c r="T67" s="203">
        <f t="shared" si="18"/>
        <v>27720000</v>
      </c>
      <c r="U67" s="34">
        <f>+T67*('Jerarq. Riesgos Costos'!$Q$72+1)</f>
        <v>36727962.597705878</v>
      </c>
      <c r="V67" s="29"/>
      <c r="W67" s="4">
        <v>2</v>
      </c>
      <c r="X67" s="256">
        <f>+W67*('Jerarq. Riesgos Plazo'!$M$65/100+1)</f>
        <v>2.0023907379964414</v>
      </c>
      <c r="Y67" s="29"/>
      <c r="Z67" s="4"/>
      <c r="AA67" s="30"/>
      <c r="AB67" s="29"/>
      <c r="AC67" s="4">
        <v>2</v>
      </c>
      <c r="AD67" s="256">
        <f>+AC67*('Jerarq. Riesgos Plazo'!$M$65/100+1)</f>
        <v>2.0023907379964414</v>
      </c>
      <c r="AE67" s="29"/>
      <c r="AF67" s="4"/>
      <c r="AG67" s="30"/>
    </row>
    <row r="68" spans="2:33" ht="18" hidden="1" x14ac:dyDescent="0.25">
      <c r="B68" s="335" t="s">
        <v>470</v>
      </c>
      <c r="C68" s="115" t="s">
        <v>710</v>
      </c>
      <c r="D68" s="112" t="s">
        <v>486</v>
      </c>
      <c r="E68" s="113" t="s">
        <v>411</v>
      </c>
      <c r="F68" s="113">
        <v>1</v>
      </c>
      <c r="G68" s="265">
        <v>0.2</v>
      </c>
      <c r="H68" s="114">
        <v>1350000</v>
      </c>
      <c r="I68" s="325">
        <f t="shared" si="21"/>
        <v>1350000</v>
      </c>
      <c r="J68" s="29"/>
      <c r="K68" s="4">
        <v>0.2</v>
      </c>
      <c r="L68" s="290">
        <f>+K68*('Jerarq. Riesgos Plazo'!$M$65+1)</f>
        <v>0.22390737996441504</v>
      </c>
      <c r="M68" s="64">
        <f>+N68*(-'Jerarq. Riesgos Costos'!$J$71+1)</f>
        <v>1215000</v>
      </c>
      <c r="N68" s="203">
        <f t="shared" si="19"/>
        <v>1350000</v>
      </c>
      <c r="O68" s="49">
        <f>+N68*('Jerarq. Riesgos Costos'!$K$78+1)</f>
        <v>1685799.8692902501</v>
      </c>
      <c r="P68" s="29"/>
      <c r="Q68" s="4">
        <f t="shared" si="3"/>
        <v>0.2</v>
      </c>
      <c r="R68" s="263">
        <f>+Q68*('Jerarq. Riesgos Plazo'!$M$67+1)</f>
        <v>0.27549586697449202</v>
      </c>
      <c r="S68" s="34">
        <f>+T68*(-'Jerarq. Riesgos Costos'!$P$72+1)</f>
        <v>1080000</v>
      </c>
      <c r="T68" s="203">
        <f t="shared" si="18"/>
        <v>1350000</v>
      </c>
      <c r="U68" s="34">
        <f>+T68*('Jerarq. Riesgos Costos'!$Q$72+1)</f>
        <v>1788699.4771610007</v>
      </c>
      <c r="V68" s="29"/>
      <c r="W68" s="4">
        <v>0.2</v>
      </c>
      <c r="X68" s="256">
        <f>+W68*('Jerarq. Riesgos Plazo'!$M$65/100+1)</f>
        <v>0.20023907379964415</v>
      </c>
      <c r="Y68" s="29"/>
      <c r="Z68" s="4"/>
      <c r="AA68" s="30"/>
      <c r="AB68" s="29"/>
      <c r="AC68" s="4">
        <v>0.2</v>
      </c>
      <c r="AD68" s="256">
        <f>+AC68*('Jerarq. Riesgos Plazo'!$M$65/100+1)</f>
        <v>0.20023907379964415</v>
      </c>
      <c r="AE68" s="29"/>
      <c r="AF68" s="4"/>
      <c r="AG68" s="30"/>
    </row>
    <row r="69" spans="2:33" ht="18" hidden="1" x14ac:dyDescent="0.25">
      <c r="B69" s="335" t="s">
        <v>470</v>
      </c>
      <c r="C69" s="115" t="s">
        <v>711</v>
      </c>
      <c r="D69" s="112" t="s">
        <v>487</v>
      </c>
      <c r="E69" s="113" t="s">
        <v>453</v>
      </c>
      <c r="F69" s="113">
        <v>16</v>
      </c>
      <c r="G69" s="265">
        <v>0.2</v>
      </c>
      <c r="H69" s="114">
        <v>22500</v>
      </c>
      <c r="I69" s="325">
        <f t="shared" si="21"/>
        <v>360000</v>
      </c>
      <c r="J69" s="29"/>
      <c r="K69" s="4">
        <v>0.2</v>
      </c>
      <c r="L69" s="290">
        <f>+K69*('Jerarq. Riesgos Plazo'!$M$65+1)</f>
        <v>0.22390737996441504</v>
      </c>
      <c r="M69" s="64">
        <f>+N69*(-'Jerarq. Riesgos Costos'!$J$71+1)</f>
        <v>324000</v>
      </c>
      <c r="N69" s="203">
        <f t="shared" si="19"/>
        <v>360000</v>
      </c>
      <c r="O69" s="49">
        <f>+N69*('Jerarq. Riesgos Costos'!$K$78+1)</f>
        <v>449546.63181073341</v>
      </c>
      <c r="P69" s="29"/>
      <c r="Q69" s="4">
        <f t="shared" si="3"/>
        <v>0.2</v>
      </c>
      <c r="R69" s="263">
        <f>+Q69*('Jerarq. Riesgos Plazo'!$M$67+1)</f>
        <v>0.27549586697449202</v>
      </c>
      <c r="S69" s="34">
        <f>+T69*(-'Jerarq. Riesgos Costos'!$P$72+1)</f>
        <v>288000</v>
      </c>
      <c r="T69" s="203">
        <f t="shared" si="18"/>
        <v>360000</v>
      </c>
      <c r="U69" s="34">
        <f>+T69*('Jerarq. Riesgos Costos'!$Q$72+1)</f>
        <v>476986.52724293352</v>
      </c>
      <c r="V69" s="29"/>
      <c r="W69" s="4">
        <v>0.2</v>
      </c>
      <c r="X69" s="256">
        <f>+W69*('Jerarq. Riesgos Plazo'!$M$65/100+1)</f>
        <v>0.20023907379964415</v>
      </c>
      <c r="Y69" s="29"/>
      <c r="Z69" s="4"/>
      <c r="AA69" s="30"/>
      <c r="AB69" s="29"/>
      <c r="AC69" s="4">
        <v>0.2</v>
      </c>
      <c r="AD69" s="256">
        <f>+AC69*('Jerarq. Riesgos Plazo'!$M$65/100+1)</f>
        <v>0.20023907379964415</v>
      </c>
      <c r="AE69" s="29"/>
      <c r="AF69" s="4"/>
      <c r="AG69" s="30"/>
    </row>
    <row r="70" spans="2:33" ht="18" hidden="1" x14ac:dyDescent="0.25">
      <c r="B70" s="335" t="s">
        <v>470</v>
      </c>
      <c r="C70" s="115" t="s">
        <v>712</v>
      </c>
      <c r="D70" s="112" t="s">
        <v>488</v>
      </c>
      <c r="E70" s="113" t="s">
        <v>453</v>
      </c>
      <c r="F70" s="113">
        <v>4</v>
      </c>
      <c r="G70" s="265">
        <v>0.1</v>
      </c>
      <c r="H70" s="114">
        <v>75000</v>
      </c>
      <c r="I70" s="325">
        <f t="shared" si="21"/>
        <v>300000</v>
      </c>
      <c r="J70" s="29"/>
      <c r="K70" s="4">
        <v>0.1</v>
      </c>
      <c r="L70" s="290">
        <f>+K70*('Jerarq. Riesgos Plazo'!$M$65+1)</f>
        <v>0.11195368998220752</v>
      </c>
      <c r="M70" s="64">
        <f>+N70*(-'Jerarq. Riesgos Costos'!$J$71+1)</f>
        <v>270000</v>
      </c>
      <c r="N70" s="203">
        <f t="shared" si="19"/>
        <v>300000</v>
      </c>
      <c r="O70" s="49">
        <f>+N70*('Jerarq. Riesgos Costos'!$K$78+1)</f>
        <v>374622.19317561114</v>
      </c>
      <c r="P70" s="29"/>
      <c r="Q70" s="4">
        <f t="shared" si="3"/>
        <v>0.1</v>
      </c>
      <c r="R70" s="263">
        <f>+Q70*('Jerarq. Riesgos Plazo'!$M$67+1)</f>
        <v>0.13774793348724601</v>
      </c>
      <c r="S70" s="34">
        <f>+T70*(-'Jerarq. Riesgos Costos'!$P$72+1)</f>
        <v>240000</v>
      </c>
      <c r="T70" s="203">
        <f t="shared" si="18"/>
        <v>300000</v>
      </c>
      <c r="U70" s="34">
        <f>+T70*('Jerarq. Riesgos Costos'!$Q$72+1)</f>
        <v>397488.77270244458</v>
      </c>
      <c r="V70" s="29"/>
      <c r="W70" s="4">
        <v>0.1</v>
      </c>
      <c r="X70" s="256">
        <f>+W70*('Jerarq. Riesgos Plazo'!$M$65/100+1)</f>
        <v>0.10011953689982207</v>
      </c>
      <c r="Y70" s="29"/>
      <c r="Z70" s="4"/>
      <c r="AA70" s="30"/>
      <c r="AB70" s="29"/>
      <c r="AC70" s="4">
        <v>0.1</v>
      </c>
      <c r="AD70" s="256">
        <f>+AC70*('Jerarq. Riesgos Plazo'!$M$65/100+1)</f>
        <v>0.10011953689982207</v>
      </c>
      <c r="AE70" s="29"/>
      <c r="AF70" s="4"/>
      <c r="AG70" s="30"/>
    </row>
    <row r="71" spans="2:33" ht="18" hidden="1" x14ac:dyDescent="0.25">
      <c r="B71" s="335" t="s">
        <v>470</v>
      </c>
      <c r="C71" s="115" t="s">
        <v>713</v>
      </c>
      <c r="D71" s="112" t="s">
        <v>489</v>
      </c>
      <c r="E71" s="113" t="s">
        <v>453</v>
      </c>
      <c r="F71" s="113">
        <v>1</v>
      </c>
      <c r="G71" s="265">
        <v>0.1</v>
      </c>
      <c r="H71" s="114">
        <v>22500</v>
      </c>
      <c r="I71" s="325">
        <f t="shared" si="21"/>
        <v>22500</v>
      </c>
      <c r="J71" s="29"/>
      <c r="K71" s="4">
        <v>0.1</v>
      </c>
      <c r="L71" s="290">
        <f>+K71*('Jerarq. Riesgos Plazo'!$M$65+1)</f>
        <v>0.11195368998220752</v>
      </c>
      <c r="M71" s="64">
        <f>+N71*(-'Jerarq. Riesgos Costos'!$J$71+1)</f>
        <v>20250</v>
      </c>
      <c r="N71" s="203">
        <f t="shared" si="19"/>
        <v>22500</v>
      </c>
      <c r="O71" s="49">
        <f>+N71*('Jerarq. Riesgos Costos'!$K$78+1)</f>
        <v>28096.664488170838</v>
      </c>
      <c r="P71" s="29"/>
      <c r="Q71" s="4">
        <f t="shared" ref="Q71:Q134" si="22">+K71</f>
        <v>0.1</v>
      </c>
      <c r="R71" s="263">
        <f>+Q71*('Jerarq. Riesgos Plazo'!$M$67+1)</f>
        <v>0.13774793348724601</v>
      </c>
      <c r="S71" s="34">
        <f>+T71*(-'Jerarq. Riesgos Costos'!$P$72+1)</f>
        <v>18000</v>
      </c>
      <c r="T71" s="203">
        <f t="shared" si="18"/>
        <v>22500</v>
      </c>
      <c r="U71" s="34">
        <f>+T71*('Jerarq. Riesgos Costos'!$Q$72+1)</f>
        <v>29811.657952683345</v>
      </c>
      <c r="V71" s="29"/>
      <c r="W71" s="4">
        <v>0.1</v>
      </c>
      <c r="X71" s="256">
        <f>+W71*('Jerarq. Riesgos Plazo'!$M$65/100+1)</f>
        <v>0.10011953689982207</v>
      </c>
      <c r="Y71" s="29"/>
      <c r="Z71" s="4"/>
      <c r="AA71" s="30"/>
      <c r="AB71" s="29"/>
      <c r="AC71" s="4">
        <v>0.1</v>
      </c>
      <c r="AD71" s="256">
        <f>+AC71*('Jerarq. Riesgos Plazo'!$M$65/100+1)</f>
        <v>0.10011953689982207</v>
      </c>
      <c r="AE71" s="29"/>
      <c r="AF71" s="4"/>
      <c r="AG71" s="30"/>
    </row>
    <row r="72" spans="2:33" ht="18" hidden="1" x14ac:dyDescent="0.25">
      <c r="B72" s="335" t="s">
        <v>470</v>
      </c>
      <c r="C72" s="115" t="s">
        <v>714</v>
      </c>
      <c r="D72" s="112" t="s">
        <v>490</v>
      </c>
      <c r="E72" s="113" t="s">
        <v>453</v>
      </c>
      <c r="F72" s="113">
        <v>1</v>
      </c>
      <c r="G72" s="265">
        <v>0.5</v>
      </c>
      <c r="H72" s="114">
        <v>24750.000000000004</v>
      </c>
      <c r="I72" s="325">
        <f t="shared" si="21"/>
        <v>24750.000000000004</v>
      </c>
      <c r="J72" s="29"/>
      <c r="K72" s="4">
        <v>0.5</v>
      </c>
      <c r="L72" s="290">
        <f>+K72*('Jerarq. Riesgos Plazo'!$M$65+1)</f>
        <v>0.55976844991103758</v>
      </c>
      <c r="M72" s="64">
        <f>+N72*(-'Jerarq. Riesgos Costos'!$J$71+1)</f>
        <v>22275.000000000004</v>
      </c>
      <c r="N72" s="203">
        <f t="shared" si="19"/>
        <v>24750.000000000004</v>
      </c>
      <c r="O72" s="49">
        <f>+N72*('Jerarq. Riesgos Costos'!$K$78+1)</f>
        <v>30906.330936987924</v>
      </c>
      <c r="P72" s="29"/>
      <c r="Q72" s="4">
        <f t="shared" si="22"/>
        <v>0.5</v>
      </c>
      <c r="R72" s="263">
        <f>+Q72*('Jerarq. Riesgos Plazo'!$M$67+1)</f>
        <v>0.68873966743623005</v>
      </c>
      <c r="S72" s="34">
        <f>+T72*(-'Jerarq. Riesgos Costos'!$P$72+1)</f>
        <v>19800.000000000004</v>
      </c>
      <c r="T72" s="203">
        <f t="shared" si="18"/>
        <v>24750.000000000004</v>
      </c>
      <c r="U72" s="34">
        <f>+T72*('Jerarq. Riesgos Costos'!$Q$72+1)</f>
        <v>32792.823747951683</v>
      </c>
      <c r="V72" s="29"/>
      <c r="W72" s="4">
        <v>0.5</v>
      </c>
      <c r="X72" s="256">
        <f>+W72*('Jerarq. Riesgos Plazo'!$M$65/100+1)</f>
        <v>0.50059768449911035</v>
      </c>
      <c r="Y72" s="29"/>
      <c r="Z72" s="4"/>
      <c r="AA72" s="30"/>
      <c r="AB72" s="29"/>
      <c r="AC72" s="4">
        <v>0.5</v>
      </c>
      <c r="AD72" s="256">
        <f>+AC72*('Jerarq. Riesgos Plazo'!$M$65/100+1)</f>
        <v>0.50059768449911035</v>
      </c>
      <c r="AE72" s="29"/>
      <c r="AF72" s="4"/>
      <c r="AG72" s="30"/>
    </row>
    <row r="73" spans="2:33" ht="18" hidden="1" x14ac:dyDescent="0.25">
      <c r="B73" s="335" t="s">
        <v>470</v>
      </c>
      <c r="C73" s="115" t="s">
        <v>715</v>
      </c>
      <c r="D73" s="112" t="s">
        <v>491</v>
      </c>
      <c r="E73" s="113" t="s">
        <v>472</v>
      </c>
      <c r="F73" s="113">
        <v>40</v>
      </c>
      <c r="G73" s="265">
        <v>0.8</v>
      </c>
      <c r="H73" s="114">
        <v>16000</v>
      </c>
      <c r="I73" s="325">
        <f t="shared" si="21"/>
        <v>640000</v>
      </c>
      <c r="J73" s="29"/>
      <c r="K73" s="4">
        <v>0.8</v>
      </c>
      <c r="L73" s="290">
        <f>+K73*('Jerarq. Riesgos Plazo'!$M$65+1)</f>
        <v>0.89562951985766015</v>
      </c>
      <c r="M73" s="64">
        <f>+N73*(-'Jerarq. Riesgos Costos'!$J$71+1)</f>
        <v>576000</v>
      </c>
      <c r="N73" s="203">
        <f t="shared" si="19"/>
        <v>640000</v>
      </c>
      <c r="O73" s="49">
        <f>+N73*('Jerarq. Riesgos Costos'!$K$78+1)</f>
        <v>799194.01210797043</v>
      </c>
      <c r="P73" s="29"/>
      <c r="Q73" s="4">
        <f t="shared" si="22"/>
        <v>0.8</v>
      </c>
      <c r="R73" s="263">
        <f>+Q73*('Jerarq. Riesgos Plazo'!$M$67+1)</f>
        <v>1.1019834678979681</v>
      </c>
      <c r="S73" s="34">
        <f>+T73*(-'Jerarq. Riesgos Costos'!$P$72+1)</f>
        <v>512000</v>
      </c>
      <c r="T73" s="203">
        <f t="shared" si="18"/>
        <v>640000</v>
      </c>
      <c r="U73" s="34">
        <f>+T73*('Jerarq. Riesgos Costos'!$Q$72+1)</f>
        <v>847976.04843188182</v>
      </c>
      <c r="V73" s="29"/>
      <c r="W73" s="4">
        <v>0.8</v>
      </c>
      <c r="X73" s="256">
        <f>+W73*('Jerarq. Riesgos Plazo'!$M$65/100+1)</f>
        <v>0.80095629519857658</v>
      </c>
      <c r="Y73" s="29"/>
      <c r="Z73" s="4"/>
      <c r="AA73" s="30"/>
      <c r="AB73" s="29"/>
      <c r="AC73" s="4">
        <v>0.8</v>
      </c>
      <c r="AD73" s="256">
        <f>+AC73*('Jerarq. Riesgos Plazo'!$M$65/100+1)</f>
        <v>0.80095629519857658</v>
      </c>
      <c r="AE73" s="29"/>
      <c r="AF73" s="4"/>
      <c r="AG73" s="30"/>
    </row>
    <row r="74" spans="2:33" ht="18" hidden="1" x14ac:dyDescent="0.25">
      <c r="B74" s="335" t="s">
        <v>470</v>
      </c>
      <c r="C74" s="115" t="s">
        <v>716</v>
      </c>
      <c r="D74" s="112" t="s">
        <v>492</v>
      </c>
      <c r="E74" s="113" t="s">
        <v>472</v>
      </c>
      <c r="F74" s="113">
        <v>45</v>
      </c>
      <c r="G74" s="265">
        <v>0.3</v>
      </c>
      <c r="H74" s="114">
        <v>18000</v>
      </c>
      <c r="I74" s="325">
        <f t="shared" si="21"/>
        <v>810000</v>
      </c>
      <c r="J74" s="29"/>
      <c r="K74" s="4">
        <v>0.3</v>
      </c>
      <c r="L74" s="290">
        <f>+K74*('Jerarq. Riesgos Plazo'!$M$65+1)</f>
        <v>0.33586106994662251</v>
      </c>
      <c r="M74" s="64">
        <f>+N74*(-'Jerarq. Riesgos Costos'!$J$71+1)</f>
        <v>729000</v>
      </c>
      <c r="N74" s="203">
        <f t="shared" si="19"/>
        <v>810000</v>
      </c>
      <c r="O74" s="49">
        <f>+N74*('Jerarq. Riesgos Costos'!$K$78+1)</f>
        <v>1011479.9215741501</v>
      </c>
      <c r="P74" s="29"/>
      <c r="Q74" s="4">
        <f t="shared" si="22"/>
        <v>0.3</v>
      </c>
      <c r="R74" s="263">
        <f>+Q74*('Jerarq. Riesgos Plazo'!$M$67+1)</f>
        <v>0.41324380046173803</v>
      </c>
      <c r="S74" s="34">
        <f>+T74*(-'Jerarq. Riesgos Costos'!$P$72+1)</f>
        <v>648000</v>
      </c>
      <c r="T74" s="203">
        <f t="shared" si="18"/>
        <v>810000</v>
      </c>
      <c r="U74" s="34">
        <f>+T74*('Jerarq. Riesgos Costos'!$Q$72+1)</f>
        <v>1073219.6862966004</v>
      </c>
      <c r="V74" s="29"/>
      <c r="W74" s="4">
        <v>0.3</v>
      </c>
      <c r="X74" s="256">
        <f>+W74*('Jerarq. Riesgos Plazo'!$M$65/100+1)</f>
        <v>0.30035861069946618</v>
      </c>
      <c r="Y74" s="29"/>
      <c r="Z74" s="4"/>
      <c r="AA74" s="30"/>
      <c r="AB74" s="29"/>
      <c r="AC74" s="4">
        <v>0.3</v>
      </c>
      <c r="AD74" s="256">
        <f>+AC74*('Jerarq. Riesgos Plazo'!$M$65/100+1)</f>
        <v>0.30035861069946618</v>
      </c>
      <c r="AE74" s="29"/>
      <c r="AF74" s="4"/>
      <c r="AG74" s="30"/>
    </row>
    <row r="75" spans="2:33" ht="18" hidden="1" x14ac:dyDescent="0.25">
      <c r="B75" s="335" t="s">
        <v>470</v>
      </c>
      <c r="C75" s="115" t="s">
        <v>717</v>
      </c>
      <c r="D75" s="112" t="s">
        <v>493</v>
      </c>
      <c r="E75" s="113" t="s">
        <v>472</v>
      </c>
      <c r="F75" s="113">
        <v>15</v>
      </c>
      <c r="G75" s="265">
        <v>1</v>
      </c>
      <c r="H75" s="114">
        <v>8500</v>
      </c>
      <c r="I75" s="325">
        <f t="shared" si="21"/>
        <v>127500</v>
      </c>
      <c r="J75" s="29"/>
      <c r="K75" s="4">
        <v>1</v>
      </c>
      <c r="L75" s="290">
        <f>+K75*('Jerarq. Riesgos Plazo'!$M$65+1)</f>
        <v>1.1195368998220752</v>
      </c>
      <c r="M75" s="64">
        <f>+N75*(-'Jerarq. Riesgos Costos'!$J$71+1)</f>
        <v>114750</v>
      </c>
      <c r="N75" s="203">
        <f t="shared" si="19"/>
        <v>127500</v>
      </c>
      <c r="O75" s="49">
        <f>+N75*('Jerarq. Riesgos Costos'!$K$78+1)</f>
        <v>159214.43209963475</v>
      </c>
      <c r="P75" s="29"/>
      <c r="Q75" s="4">
        <f t="shared" si="22"/>
        <v>1</v>
      </c>
      <c r="R75" s="263">
        <f>+Q75*('Jerarq. Riesgos Plazo'!$M$67+1)</f>
        <v>1.3774793348724601</v>
      </c>
      <c r="S75" s="34">
        <f>+T75*(-'Jerarq. Riesgos Costos'!$P$72+1)</f>
        <v>102000</v>
      </c>
      <c r="T75" s="203">
        <f t="shared" si="18"/>
        <v>127500</v>
      </c>
      <c r="U75" s="34">
        <f>+T75*('Jerarq. Riesgos Costos'!$Q$72+1)</f>
        <v>168932.72839853895</v>
      </c>
      <c r="V75" s="29"/>
      <c r="W75" s="4">
        <v>1</v>
      </c>
      <c r="X75" s="256">
        <f>+W75*('Jerarq. Riesgos Plazo'!$M$65/100+1)</f>
        <v>1.0011953689982207</v>
      </c>
      <c r="Y75" s="29"/>
      <c r="Z75" s="4"/>
      <c r="AA75" s="30"/>
      <c r="AB75" s="29"/>
      <c r="AC75" s="4">
        <v>1</v>
      </c>
      <c r="AD75" s="256">
        <f>+AC75*('Jerarq. Riesgos Plazo'!$M$65/100+1)</f>
        <v>1.0011953689982207</v>
      </c>
      <c r="AE75" s="29"/>
      <c r="AF75" s="4"/>
      <c r="AG75" s="30"/>
    </row>
    <row r="76" spans="2:33" ht="18" hidden="1" x14ac:dyDescent="0.25">
      <c r="B76" s="335" t="s">
        <v>470</v>
      </c>
      <c r="C76" s="115" t="s">
        <v>718</v>
      </c>
      <c r="D76" s="112" t="s">
        <v>662</v>
      </c>
      <c r="E76" s="113" t="s">
        <v>453</v>
      </c>
      <c r="F76" s="113">
        <v>16</v>
      </c>
      <c r="G76" s="265">
        <v>0.3</v>
      </c>
      <c r="H76" s="114">
        <v>18300</v>
      </c>
      <c r="I76" s="325">
        <f t="shared" si="21"/>
        <v>292800</v>
      </c>
      <c r="J76" s="29"/>
      <c r="K76" s="4">
        <v>0.3</v>
      </c>
      <c r="L76" s="290">
        <f>+K76*('Jerarq. Riesgos Plazo'!$M$65+1)</f>
        <v>0.33586106994662251</v>
      </c>
      <c r="M76" s="64">
        <f>+N76*(-'Jerarq. Riesgos Costos'!$J$71+1)</f>
        <v>263520</v>
      </c>
      <c r="N76" s="203">
        <f t="shared" si="19"/>
        <v>292800</v>
      </c>
      <c r="O76" s="49">
        <f>+N76*('Jerarq. Riesgos Costos'!$K$78+1)</f>
        <v>365631.26053939649</v>
      </c>
      <c r="P76" s="29"/>
      <c r="Q76" s="4">
        <f t="shared" si="22"/>
        <v>0.3</v>
      </c>
      <c r="R76" s="263">
        <f>+Q76*('Jerarq. Riesgos Plazo'!$M$67+1)</f>
        <v>0.41324380046173803</v>
      </c>
      <c r="S76" s="34">
        <f>+T76*(-'Jerarq. Riesgos Costos'!$P$72+1)</f>
        <v>234240</v>
      </c>
      <c r="T76" s="203">
        <f t="shared" si="18"/>
        <v>292800</v>
      </c>
      <c r="U76" s="34">
        <f>+T76*('Jerarq. Riesgos Costos'!$Q$72+1)</f>
        <v>387949.04215758591</v>
      </c>
      <c r="V76" s="29"/>
      <c r="W76" s="4">
        <v>0.3</v>
      </c>
      <c r="X76" s="256">
        <f>+W76*('Jerarq. Riesgos Plazo'!$M$65/100+1)</f>
        <v>0.30035861069946618</v>
      </c>
      <c r="Y76" s="29"/>
      <c r="Z76" s="4"/>
      <c r="AA76" s="30"/>
      <c r="AB76" s="29"/>
      <c r="AC76" s="4">
        <v>0.3</v>
      </c>
      <c r="AD76" s="256">
        <f>+AC76*('Jerarq. Riesgos Plazo'!$M$65/100+1)</f>
        <v>0.30035861069946618</v>
      </c>
      <c r="AE76" s="29"/>
      <c r="AF76" s="4"/>
      <c r="AG76" s="30"/>
    </row>
    <row r="77" spans="2:33" ht="18" hidden="1" x14ac:dyDescent="0.25">
      <c r="B77" s="335" t="s">
        <v>470</v>
      </c>
      <c r="C77" s="115" t="s">
        <v>719</v>
      </c>
      <c r="D77" s="112" t="s">
        <v>494</v>
      </c>
      <c r="E77" s="113" t="s">
        <v>453</v>
      </c>
      <c r="F77" s="113">
        <v>6</v>
      </c>
      <c r="G77" s="265">
        <v>0.3</v>
      </c>
      <c r="H77" s="114">
        <v>38250</v>
      </c>
      <c r="I77" s="325">
        <f t="shared" si="21"/>
        <v>229500</v>
      </c>
      <c r="J77" s="29"/>
      <c r="K77" s="4">
        <v>0.3</v>
      </c>
      <c r="L77" s="290">
        <f>+K77*('Jerarq. Riesgos Plazo'!$M$65+1)</f>
        <v>0.33586106994662251</v>
      </c>
      <c r="M77" s="64">
        <f>+N77*(-'Jerarq. Riesgos Costos'!$J$71+1)</f>
        <v>206550</v>
      </c>
      <c r="N77" s="203">
        <f t="shared" si="19"/>
        <v>229500</v>
      </c>
      <c r="O77" s="49">
        <f>+N77*('Jerarq. Riesgos Costos'!$K$78+1)</f>
        <v>286585.97777934256</v>
      </c>
      <c r="P77" s="29"/>
      <c r="Q77" s="4">
        <f t="shared" si="22"/>
        <v>0.3</v>
      </c>
      <c r="R77" s="263">
        <f>+Q77*('Jerarq. Riesgos Plazo'!$M$67+1)</f>
        <v>0.41324380046173803</v>
      </c>
      <c r="S77" s="34">
        <f>+T77*(-'Jerarq. Riesgos Costos'!$P$72+1)</f>
        <v>183600</v>
      </c>
      <c r="T77" s="203">
        <f t="shared" si="18"/>
        <v>229500</v>
      </c>
      <c r="U77" s="34">
        <f>+T77*('Jerarq. Riesgos Costos'!$Q$72+1)</f>
        <v>304078.91111737012</v>
      </c>
      <c r="V77" s="29"/>
      <c r="W77" s="4">
        <v>0.3</v>
      </c>
      <c r="X77" s="256">
        <f>+W77*('Jerarq. Riesgos Plazo'!$M$65/100+1)</f>
        <v>0.30035861069946618</v>
      </c>
      <c r="Y77" s="29"/>
      <c r="Z77" s="4"/>
      <c r="AA77" s="30"/>
      <c r="AB77" s="29"/>
      <c r="AC77" s="4">
        <v>0.3</v>
      </c>
      <c r="AD77" s="256">
        <f>+AC77*('Jerarq. Riesgos Plazo'!$M$65/100+1)</f>
        <v>0.30035861069946618</v>
      </c>
      <c r="AE77" s="29"/>
      <c r="AF77" s="4"/>
      <c r="AG77" s="30"/>
    </row>
    <row r="78" spans="2:33" ht="18" hidden="1" x14ac:dyDescent="0.25">
      <c r="B78" s="335" t="s">
        <v>470</v>
      </c>
      <c r="C78" s="115" t="s">
        <v>720</v>
      </c>
      <c r="D78" s="112" t="s">
        <v>495</v>
      </c>
      <c r="E78" s="113" t="s">
        <v>453</v>
      </c>
      <c r="F78" s="113">
        <v>3</v>
      </c>
      <c r="G78" s="265">
        <v>0.3</v>
      </c>
      <c r="H78" s="114">
        <v>38250</v>
      </c>
      <c r="I78" s="325">
        <f t="shared" si="21"/>
        <v>114750</v>
      </c>
      <c r="J78" s="29"/>
      <c r="K78" s="4">
        <v>0.3</v>
      </c>
      <c r="L78" s="290">
        <f>+K78*('Jerarq. Riesgos Plazo'!$M$65+1)</f>
        <v>0.33586106994662251</v>
      </c>
      <c r="M78" s="64">
        <f>+N78*(-'Jerarq. Riesgos Costos'!$J$71+1)</f>
        <v>103275</v>
      </c>
      <c r="N78" s="203">
        <f t="shared" si="19"/>
        <v>114750</v>
      </c>
      <c r="O78" s="49">
        <f>+N78*('Jerarq. Riesgos Costos'!$K$78+1)</f>
        <v>143292.98888967128</v>
      </c>
      <c r="P78" s="29"/>
      <c r="Q78" s="4">
        <f t="shared" si="22"/>
        <v>0.3</v>
      </c>
      <c r="R78" s="263">
        <f>+Q78*('Jerarq. Riesgos Plazo'!$M$67+1)</f>
        <v>0.41324380046173803</v>
      </c>
      <c r="S78" s="34">
        <f>+T78*(-'Jerarq. Riesgos Costos'!$P$72+1)</f>
        <v>91800</v>
      </c>
      <c r="T78" s="203">
        <f t="shared" si="18"/>
        <v>114750</v>
      </c>
      <c r="U78" s="34">
        <f>+T78*('Jerarq. Riesgos Costos'!$Q$72+1)</f>
        <v>152039.45555868506</v>
      </c>
      <c r="V78" s="29"/>
      <c r="W78" s="4">
        <v>0.3</v>
      </c>
      <c r="X78" s="256">
        <f>+W78*('Jerarq. Riesgos Plazo'!$M$65/100+1)</f>
        <v>0.30035861069946618</v>
      </c>
      <c r="Y78" s="29"/>
      <c r="Z78" s="4"/>
      <c r="AA78" s="30"/>
      <c r="AB78" s="29"/>
      <c r="AC78" s="4">
        <v>0.3</v>
      </c>
      <c r="AD78" s="256">
        <f>+AC78*('Jerarq. Riesgos Plazo'!$M$65/100+1)</f>
        <v>0.30035861069946618</v>
      </c>
      <c r="AE78" s="29"/>
      <c r="AF78" s="4"/>
      <c r="AG78" s="30"/>
    </row>
    <row r="79" spans="2:33" ht="18" hidden="1" x14ac:dyDescent="0.25">
      <c r="B79" s="335" t="s">
        <v>470</v>
      </c>
      <c r="C79" s="115" t="s">
        <v>721</v>
      </c>
      <c r="D79" s="112" t="s">
        <v>496</v>
      </c>
      <c r="E79" s="113" t="s">
        <v>453</v>
      </c>
      <c r="F79" s="113">
        <v>11</v>
      </c>
      <c r="G79" s="265">
        <v>0.3</v>
      </c>
      <c r="H79" s="114">
        <v>75000</v>
      </c>
      <c r="I79" s="325">
        <f t="shared" si="21"/>
        <v>825000</v>
      </c>
      <c r="J79" s="29"/>
      <c r="K79" s="4">
        <v>0.3</v>
      </c>
      <c r="L79" s="290">
        <f>+K79*('Jerarq. Riesgos Plazo'!$M$65+1)</f>
        <v>0.33586106994662251</v>
      </c>
      <c r="M79" s="64">
        <f>+N79*(-'Jerarq. Riesgos Costos'!$J$71+1)</f>
        <v>742500</v>
      </c>
      <c r="N79" s="203">
        <f t="shared" si="19"/>
        <v>825000</v>
      </c>
      <c r="O79" s="49">
        <f>+N79*('Jerarq. Riesgos Costos'!$K$78+1)</f>
        <v>1030211.0312329307</v>
      </c>
      <c r="P79" s="29"/>
      <c r="Q79" s="4">
        <f t="shared" si="22"/>
        <v>0.3</v>
      </c>
      <c r="R79" s="263">
        <f>+Q79*('Jerarq. Riesgos Plazo'!$M$67+1)</f>
        <v>0.41324380046173803</v>
      </c>
      <c r="S79" s="34">
        <f>+T79*(-'Jerarq. Riesgos Costos'!$P$72+1)</f>
        <v>660000</v>
      </c>
      <c r="T79" s="203">
        <f t="shared" si="18"/>
        <v>825000</v>
      </c>
      <c r="U79" s="34">
        <f>+T79*('Jerarq. Riesgos Costos'!$Q$72+1)</f>
        <v>1093094.1249317226</v>
      </c>
      <c r="V79" s="29"/>
      <c r="W79" s="4">
        <v>0.3</v>
      </c>
      <c r="X79" s="256">
        <f>+W79*('Jerarq. Riesgos Plazo'!$M$65/100+1)</f>
        <v>0.30035861069946618</v>
      </c>
      <c r="Y79" s="29"/>
      <c r="Z79" s="4"/>
      <c r="AA79" s="30"/>
      <c r="AB79" s="29"/>
      <c r="AC79" s="4">
        <v>0.3</v>
      </c>
      <c r="AD79" s="256">
        <f>+AC79*('Jerarq. Riesgos Plazo'!$M$65/100+1)</f>
        <v>0.30035861069946618</v>
      </c>
      <c r="AE79" s="29"/>
      <c r="AF79" s="4"/>
      <c r="AG79" s="30"/>
    </row>
    <row r="80" spans="2:33" ht="18" hidden="1" x14ac:dyDescent="0.25">
      <c r="B80" s="335" t="s">
        <v>470</v>
      </c>
      <c r="C80" s="115" t="s">
        <v>722</v>
      </c>
      <c r="D80" s="112" t="s">
        <v>497</v>
      </c>
      <c r="E80" s="113" t="s">
        <v>453</v>
      </c>
      <c r="F80" s="113">
        <v>8</v>
      </c>
      <c r="G80" s="265">
        <v>0.1</v>
      </c>
      <c r="H80" s="114">
        <v>75000</v>
      </c>
      <c r="I80" s="325">
        <f t="shared" si="21"/>
        <v>600000</v>
      </c>
      <c r="J80" s="29"/>
      <c r="K80" s="4">
        <v>0.1</v>
      </c>
      <c r="L80" s="290">
        <f>+K80*('Jerarq. Riesgos Plazo'!$M$65+1)</f>
        <v>0.11195368998220752</v>
      </c>
      <c r="M80" s="64">
        <f>+N80*(-'Jerarq. Riesgos Costos'!$J$71+1)</f>
        <v>540000</v>
      </c>
      <c r="N80" s="203">
        <f t="shared" si="19"/>
        <v>600000</v>
      </c>
      <c r="O80" s="49">
        <f>+N80*('Jerarq. Riesgos Costos'!$K$78+1)</f>
        <v>749244.38635122229</v>
      </c>
      <c r="P80" s="29"/>
      <c r="Q80" s="4">
        <f t="shared" si="22"/>
        <v>0.1</v>
      </c>
      <c r="R80" s="263">
        <f>+Q80*('Jerarq. Riesgos Plazo'!$M$67+1)</f>
        <v>0.13774793348724601</v>
      </c>
      <c r="S80" s="34">
        <f>+T80*(-'Jerarq. Riesgos Costos'!$P$72+1)</f>
        <v>480000</v>
      </c>
      <c r="T80" s="203">
        <f t="shared" si="18"/>
        <v>600000</v>
      </c>
      <c r="U80" s="34">
        <f>+T80*('Jerarq. Riesgos Costos'!$Q$72+1)</f>
        <v>794977.54540488916</v>
      </c>
      <c r="V80" s="29"/>
      <c r="W80" s="4"/>
      <c r="X80" s="256"/>
      <c r="Y80" s="29"/>
      <c r="Z80" s="4"/>
      <c r="AA80" s="30"/>
      <c r="AB80" s="29"/>
      <c r="AC80" s="4"/>
      <c r="AD80" s="256"/>
      <c r="AE80" s="29"/>
      <c r="AF80" s="4"/>
      <c r="AG80" s="30"/>
    </row>
    <row r="81" spans="2:33" ht="18" x14ac:dyDescent="0.25">
      <c r="B81" s="337" t="s">
        <v>800</v>
      </c>
      <c r="C81" s="251" t="s">
        <v>460</v>
      </c>
      <c r="D81" s="252" t="s">
        <v>804</v>
      </c>
      <c r="E81" s="253"/>
      <c r="F81" s="254"/>
      <c r="G81" s="261">
        <f>+SUM(G82:G89)</f>
        <v>18.3</v>
      </c>
      <c r="H81" s="255"/>
      <c r="I81" s="262">
        <f>+SUM(I82:I89)</f>
        <v>71901400</v>
      </c>
      <c r="J81" s="260">
        <v>18</v>
      </c>
      <c r="K81" s="261">
        <f>+SUM(K82:K89)</f>
        <v>18.3</v>
      </c>
      <c r="L81" s="256">
        <f>+SUM(L82:L89)</f>
        <v>20.487525266743976</v>
      </c>
      <c r="M81" s="260">
        <f>+SUM(M82:M89)</f>
        <v>64711260</v>
      </c>
      <c r="N81" s="261">
        <f>+SUM(N82:N89)</f>
        <v>71901400</v>
      </c>
      <c r="O81" s="262">
        <f>+SUM(O82:O89)</f>
        <v>89786200.534656286</v>
      </c>
      <c r="P81" s="260">
        <v>18</v>
      </c>
      <c r="Q81" s="261">
        <f t="shared" si="22"/>
        <v>18.3</v>
      </c>
      <c r="R81" s="262">
        <f>+Q81*('Jerarq. Riesgos Plazo'!$M$67+1)</f>
        <v>25.20787182816602</v>
      </c>
      <c r="S81" s="260">
        <f>+SUM(S82:S89)</f>
        <v>57521120</v>
      </c>
      <c r="T81" s="261">
        <f>+SUM(T82:T89)</f>
        <v>71901400</v>
      </c>
      <c r="U81" s="262">
        <f>+SUM(U82:U89)</f>
        <v>93828636.138625175</v>
      </c>
      <c r="V81" s="260">
        <v>18</v>
      </c>
      <c r="W81" s="261">
        <f>+SUM(W82:W89)</f>
        <v>18.3</v>
      </c>
      <c r="X81" s="256">
        <f>+W81*('Jerarq. Riesgos Plazo'!$M$65/100+1)</f>
        <v>18.321875252667439</v>
      </c>
      <c r="Y81" s="260"/>
      <c r="Z81" s="261"/>
      <c r="AA81" s="262"/>
      <c r="AB81" s="260">
        <v>18</v>
      </c>
      <c r="AC81" s="261">
        <f>+SUM(AC82:AC89)</f>
        <v>18.3</v>
      </c>
      <c r="AD81" s="256">
        <f>+AC81*('Jerarq. Riesgos Plazo'!$M$65/100+1)</f>
        <v>18.321875252667439</v>
      </c>
      <c r="AE81" s="260"/>
      <c r="AF81" s="261"/>
      <c r="AG81" s="262"/>
    </row>
    <row r="82" spans="2:33" ht="18" hidden="1" x14ac:dyDescent="0.25">
      <c r="B82" s="335" t="s">
        <v>435</v>
      </c>
      <c r="C82" s="115" t="s">
        <v>723</v>
      </c>
      <c r="D82" s="112" t="s">
        <v>438</v>
      </c>
      <c r="E82" s="113" t="s">
        <v>429</v>
      </c>
      <c r="F82" s="113">
        <v>5462</v>
      </c>
      <c r="G82" s="265">
        <v>4</v>
      </c>
      <c r="H82" s="114">
        <v>3050</v>
      </c>
      <c r="I82" s="325">
        <f t="shared" si="17"/>
        <v>16659100</v>
      </c>
      <c r="J82" s="29"/>
      <c r="K82" s="4">
        <v>4</v>
      </c>
      <c r="L82" s="294">
        <f>+K82*('Jerarq. Riesgos Plazo'!$M$65+1)</f>
        <v>4.4781475992883006</v>
      </c>
      <c r="M82" s="64">
        <f>+N82*(-'Jerarq. Riesgos Costos'!$J$71+1)</f>
        <v>14993190</v>
      </c>
      <c r="N82" s="203">
        <f t="shared" si="19"/>
        <v>16659100</v>
      </c>
      <c r="O82" s="49">
        <f>+N82*('Jerarq. Riesgos Costos'!$K$78+1)</f>
        <v>20802895.261106081</v>
      </c>
      <c r="P82" s="29"/>
      <c r="Q82" s="4">
        <f t="shared" si="22"/>
        <v>4</v>
      </c>
      <c r="R82" s="263">
        <f>+Q82*('Jerarq. Riesgos Plazo'!$M$67+1)</f>
        <v>5.5099173394898404</v>
      </c>
      <c r="S82" s="34">
        <f>+T82*(-'Jerarq. Riesgos Costos'!$P$73+1)</f>
        <v>13327280</v>
      </c>
      <c r="T82" s="203">
        <f t="shared" si="18"/>
        <v>16659100</v>
      </c>
      <c r="U82" s="34">
        <f>+T82*('Jerarq. Riesgos Costos'!$Q$73+1)</f>
        <v>21739502.044424318</v>
      </c>
      <c r="V82" s="29"/>
      <c r="W82" s="4">
        <v>4</v>
      </c>
      <c r="X82" s="256">
        <f>+W82*('Jerarq. Riesgos Plazo'!$M$65/100+1)</f>
        <v>4.0047814759928828</v>
      </c>
      <c r="Y82" s="29"/>
      <c r="Z82" s="4"/>
      <c r="AA82" s="30"/>
      <c r="AB82" s="29"/>
      <c r="AC82" s="4">
        <v>4</v>
      </c>
      <c r="AD82" s="256">
        <f>+AC82*('Jerarq. Riesgos Plazo'!$M$65/100+1)</f>
        <v>4.0047814759928828</v>
      </c>
      <c r="AE82" s="29"/>
      <c r="AF82" s="4"/>
      <c r="AG82" s="30"/>
    </row>
    <row r="83" spans="2:33" ht="18" hidden="1" x14ac:dyDescent="0.25">
      <c r="B83" s="335" t="s">
        <v>435</v>
      </c>
      <c r="C83" s="115" t="s">
        <v>724</v>
      </c>
      <c r="D83" s="112" t="s">
        <v>440</v>
      </c>
      <c r="E83" s="113" t="s">
        <v>429</v>
      </c>
      <c r="F83" s="113">
        <v>7016</v>
      </c>
      <c r="G83" s="265">
        <v>1</v>
      </c>
      <c r="H83" s="114">
        <v>2300</v>
      </c>
      <c r="I83" s="325">
        <f t="shared" si="17"/>
        <v>16136800</v>
      </c>
      <c r="J83" s="29"/>
      <c r="K83" s="4">
        <v>1</v>
      </c>
      <c r="L83" s="294">
        <f>+K83*('Jerarq. Riesgos Plazo'!$M$65+1)</f>
        <v>1.1195368998220752</v>
      </c>
      <c r="M83" s="64">
        <f>+N83*(-'Jerarq. Riesgos Costos'!$J$71+1)</f>
        <v>14523120</v>
      </c>
      <c r="N83" s="203">
        <f t="shared" si="19"/>
        <v>16136800</v>
      </c>
      <c r="O83" s="49">
        <f>+N83*('Jerarq. Riesgos Costos'!$K$78+1)</f>
        <v>20150678.02278734</v>
      </c>
      <c r="P83" s="29"/>
      <c r="Q83" s="4">
        <f t="shared" si="22"/>
        <v>1</v>
      </c>
      <c r="R83" s="263">
        <f>+Q83*('Jerarq. Riesgos Plazo'!$M$67+1)</f>
        <v>1.3774793348724601</v>
      </c>
      <c r="S83" s="34">
        <f>+T83*(-'Jerarq. Riesgos Costos'!$P$73+1)</f>
        <v>12909440</v>
      </c>
      <c r="T83" s="203">
        <f t="shared" si="18"/>
        <v>16136800</v>
      </c>
      <c r="U83" s="34">
        <f>+T83*('Jerarq. Riesgos Costos'!$Q$73+1)</f>
        <v>21057920.09114936</v>
      </c>
      <c r="V83" s="29"/>
      <c r="W83" s="4">
        <v>1</v>
      </c>
      <c r="X83" s="256">
        <f>+W83*('Jerarq. Riesgos Plazo'!$M$65/100+1)</f>
        <v>1.0011953689982207</v>
      </c>
      <c r="Y83" s="29"/>
      <c r="Z83" s="4"/>
      <c r="AA83" s="30"/>
      <c r="AB83" s="29"/>
      <c r="AC83" s="4">
        <v>1</v>
      </c>
      <c r="AD83" s="256">
        <f>+AC83*('Jerarq. Riesgos Plazo'!$M$65/100+1)</f>
        <v>1.0011953689982207</v>
      </c>
      <c r="AE83" s="29"/>
      <c r="AF83" s="4"/>
      <c r="AG83" s="30"/>
    </row>
    <row r="84" spans="2:33" ht="18" hidden="1" x14ac:dyDescent="0.25">
      <c r="B84" s="335" t="s">
        <v>435</v>
      </c>
      <c r="C84" s="115" t="s">
        <v>725</v>
      </c>
      <c r="D84" s="112" t="s">
        <v>442</v>
      </c>
      <c r="E84" s="113" t="s">
        <v>429</v>
      </c>
      <c r="F84" s="113">
        <v>5462</v>
      </c>
      <c r="G84" s="265">
        <v>5</v>
      </c>
      <c r="H84" s="114">
        <v>2500</v>
      </c>
      <c r="I84" s="325">
        <f t="shared" si="17"/>
        <v>13655000</v>
      </c>
      <c r="J84" s="29"/>
      <c r="K84" s="4">
        <v>5</v>
      </c>
      <c r="L84" s="294">
        <f>+K84*('Jerarq. Riesgos Plazo'!$M$65+1)</f>
        <v>5.5976844991103754</v>
      </c>
      <c r="M84" s="64">
        <f>+N84*(-'Jerarq. Riesgos Costos'!$J$71+1)</f>
        <v>12289500</v>
      </c>
      <c r="N84" s="203">
        <f t="shared" si="19"/>
        <v>13655000</v>
      </c>
      <c r="O84" s="49">
        <f>+N84*('Jerarq. Riesgos Costos'!$K$78+1)</f>
        <v>17051553.492709901</v>
      </c>
      <c r="P84" s="29"/>
      <c r="Q84" s="4">
        <f t="shared" si="22"/>
        <v>5</v>
      </c>
      <c r="R84" s="263">
        <f>+Q84*('Jerarq. Riesgos Plazo'!$M$67+1)</f>
        <v>6.8873966743623001</v>
      </c>
      <c r="S84" s="34">
        <f>+T84*(-'Jerarq. Riesgos Costos'!$P$73+1)</f>
        <v>10924000</v>
      </c>
      <c r="T84" s="203">
        <f t="shared" si="18"/>
        <v>13655000</v>
      </c>
      <c r="U84" s="34">
        <f>+T84*('Jerarq. Riesgos Costos'!$Q$73+1)</f>
        <v>17819263.970839605</v>
      </c>
      <c r="V84" s="29"/>
      <c r="W84" s="4">
        <v>5</v>
      </c>
      <c r="X84" s="256">
        <f>+W84*('Jerarq. Riesgos Plazo'!$M$65/100+1)</f>
        <v>5.0059768449911033</v>
      </c>
      <c r="Y84" s="29"/>
      <c r="Z84" s="4"/>
      <c r="AA84" s="30"/>
      <c r="AB84" s="29"/>
      <c r="AC84" s="4">
        <v>5</v>
      </c>
      <c r="AD84" s="256">
        <f>+AC84*('Jerarq. Riesgos Plazo'!$M$65/100+1)</f>
        <v>5.0059768449911033</v>
      </c>
      <c r="AE84" s="29"/>
      <c r="AF84" s="4"/>
      <c r="AG84" s="30"/>
    </row>
    <row r="85" spans="2:33" ht="18" hidden="1" x14ac:dyDescent="0.25">
      <c r="B85" s="335" t="s">
        <v>435</v>
      </c>
      <c r="C85" s="115" t="s">
        <v>726</v>
      </c>
      <c r="D85" s="112" t="s">
        <v>443</v>
      </c>
      <c r="E85" s="113" t="s">
        <v>429</v>
      </c>
      <c r="F85" s="113">
        <v>7016</v>
      </c>
      <c r="G85" s="265">
        <v>3</v>
      </c>
      <c r="H85" s="114">
        <v>2500</v>
      </c>
      <c r="I85" s="325">
        <f t="shared" si="17"/>
        <v>17540000</v>
      </c>
      <c r="J85" s="29"/>
      <c r="K85" s="4">
        <v>3</v>
      </c>
      <c r="L85" s="294">
        <f>+K85*('Jerarq. Riesgos Plazo'!$M$65+1)</f>
        <v>3.3586106994662255</v>
      </c>
      <c r="M85" s="64">
        <f>+N85*(-'Jerarq. Riesgos Costos'!$J$71+1)</f>
        <v>15786000</v>
      </c>
      <c r="N85" s="203">
        <f t="shared" si="19"/>
        <v>17540000</v>
      </c>
      <c r="O85" s="49">
        <f>+N85*('Jerarq. Riesgos Costos'!$K$78+1)</f>
        <v>21902910.894334067</v>
      </c>
      <c r="P85" s="29"/>
      <c r="Q85" s="4">
        <f t="shared" si="22"/>
        <v>3</v>
      </c>
      <c r="R85" s="263">
        <f>+Q85*('Jerarq. Riesgos Plazo'!$M$67+1)</f>
        <v>4.1324380046173808</v>
      </c>
      <c r="S85" s="34">
        <f>+T85*(-'Jerarq. Riesgos Costos'!$P$73+1)</f>
        <v>14032000</v>
      </c>
      <c r="T85" s="203">
        <f t="shared" si="18"/>
        <v>17540000</v>
      </c>
      <c r="U85" s="34">
        <f>+T85*('Jerarq. Riesgos Costos'!$Q$73+1)</f>
        <v>22889043.577336259</v>
      </c>
      <c r="V85" s="29"/>
      <c r="W85" s="4">
        <v>3</v>
      </c>
      <c r="X85" s="256">
        <f>+W85*('Jerarq. Riesgos Plazo'!$M$65/100+1)</f>
        <v>3.0035861069946623</v>
      </c>
      <c r="Y85" s="29"/>
      <c r="Z85" s="4"/>
      <c r="AA85" s="30"/>
      <c r="AB85" s="29"/>
      <c r="AC85" s="4">
        <v>3</v>
      </c>
      <c r="AD85" s="256">
        <f>+AC85*('Jerarq. Riesgos Plazo'!$M$65/100+1)</f>
        <v>3.0035861069946623</v>
      </c>
      <c r="AE85" s="29"/>
      <c r="AF85" s="4"/>
      <c r="AG85" s="30"/>
    </row>
    <row r="86" spans="2:33" ht="18" hidden="1" x14ac:dyDescent="0.25">
      <c r="B86" s="335" t="s">
        <v>435</v>
      </c>
      <c r="C86" s="115" t="s">
        <v>727</v>
      </c>
      <c r="D86" s="112" t="s">
        <v>444</v>
      </c>
      <c r="E86" s="113" t="s">
        <v>445</v>
      </c>
      <c r="F86" s="113">
        <v>110</v>
      </c>
      <c r="G86" s="265">
        <v>2</v>
      </c>
      <c r="H86" s="114">
        <v>46100</v>
      </c>
      <c r="I86" s="325">
        <f t="shared" si="17"/>
        <v>5071000</v>
      </c>
      <c r="J86" s="29"/>
      <c r="K86" s="4">
        <v>2</v>
      </c>
      <c r="L86" s="294">
        <f>+K86*('Jerarq. Riesgos Plazo'!$M$65+1)</f>
        <v>2.2390737996441503</v>
      </c>
      <c r="M86" s="64">
        <f>+N86*(-'Jerarq. Riesgos Costos'!$J$71+1)</f>
        <v>4563900</v>
      </c>
      <c r="N86" s="203">
        <f t="shared" si="19"/>
        <v>5071000</v>
      </c>
      <c r="O86" s="49">
        <f>+N86*('Jerarq. Riesgos Costos'!$K$78+1)</f>
        <v>6332363.8053117469</v>
      </c>
      <c r="P86" s="29"/>
      <c r="Q86" s="4">
        <f t="shared" si="22"/>
        <v>2</v>
      </c>
      <c r="R86" s="263">
        <f>+Q86*('Jerarq. Riesgos Plazo'!$M$67+1)</f>
        <v>2.7549586697449202</v>
      </c>
      <c r="S86" s="34">
        <f>+T86*(-'Jerarq. Riesgos Costos'!$P$73+1)</f>
        <v>4056800</v>
      </c>
      <c r="T86" s="203">
        <f t="shared" si="18"/>
        <v>5071000</v>
      </c>
      <c r="U86" s="34">
        <f>+T86*('Jerarq. Riesgos Costos'!$Q$73+1)</f>
        <v>6617465.2212469885</v>
      </c>
      <c r="V86" s="29"/>
      <c r="W86" s="4">
        <v>2</v>
      </c>
      <c r="X86" s="256">
        <f>+W86*('Jerarq. Riesgos Plazo'!$M$65/100+1)</f>
        <v>2.0023907379964414</v>
      </c>
      <c r="Y86" s="29"/>
      <c r="Z86" s="4"/>
      <c r="AA86" s="30"/>
      <c r="AB86" s="29"/>
      <c r="AC86" s="4">
        <v>2</v>
      </c>
      <c r="AD86" s="256">
        <f>+AC86*('Jerarq. Riesgos Plazo'!$M$65/100+1)</f>
        <v>2.0023907379964414</v>
      </c>
      <c r="AE86" s="29"/>
      <c r="AF86" s="4"/>
      <c r="AG86" s="30"/>
    </row>
    <row r="87" spans="2:33" ht="18" hidden="1" x14ac:dyDescent="0.25">
      <c r="B87" s="335" t="s">
        <v>435</v>
      </c>
      <c r="C87" s="115" t="s">
        <v>728</v>
      </c>
      <c r="D87" s="112" t="s">
        <v>446</v>
      </c>
      <c r="E87" s="113" t="s">
        <v>429</v>
      </c>
      <c r="F87" s="113">
        <v>299</v>
      </c>
      <c r="G87" s="265">
        <v>2</v>
      </c>
      <c r="H87" s="114">
        <v>5500</v>
      </c>
      <c r="I87" s="325">
        <f t="shared" si="17"/>
        <v>1644500</v>
      </c>
      <c r="J87" s="29"/>
      <c r="K87" s="4">
        <v>2</v>
      </c>
      <c r="L87" s="294">
        <f>+K87*('Jerarq. Riesgos Plazo'!$M$65+1)</f>
        <v>2.2390737996441503</v>
      </c>
      <c r="M87" s="64">
        <f>+N87*(-'Jerarq. Riesgos Costos'!$J$71+1)</f>
        <v>1480050</v>
      </c>
      <c r="N87" s="203">
        <f t="shared" si="19"/>
        <v>1644500</v>
      </c>
      <c r="O87" s="49">
        <f>+N87*('Jerarq. Riesgos Costos'!$K$78+1)</f>
        <v>2053553.9889243084</v>
      </c>
      <c r="P87" s="29"/>
      <c r="Q87" s="4">
        <f t="shared" si="22"/>
        <v>2</v>
      </c>
      <c r="R87" s="263">
        <f>+Q87*('Jerarq. Riesgos Plazo'!$M$67+1)</f>
        <v>2.7549586697449202</v>
      </c>
      <c r="S87" s="34">
        <f>+T87*(-'Jerarq. Riesgos Costos'!$P$73+1)</f>
        <v>1315600</v>
      </c>
      <c r="T87" s="203">
        <f t="shared" si="18"/>
        <v>1644500</v>
      </c>
      <c r="U87" s="34">
        <f>+T87*('Jerarq. Riesgos Costos'!$Q$73+1)</f>
        <v>2146010.9556972338</v>
      </c>
      <c r="V87" s="29"/>
      <c r="W87" s="4">
        <v>2</v>
      </c>
      <c r="X87" s="256">
        <f>+W87*('Jerarq. Riesgos Plazo'!$M$65/100+1)</f>
        <v>2.0023907379964414</v>
      </c>
      <c r="Y87" s="29"/>
      <c r="Z87" s="4"/>
      <c r="AA87" s="30"/>
      <c r="AB87" s="29"/>
      <c r="AC87" s="4">
        <v>2</v>
      </c>
      <c r="AD87" s="256">
        <f>+AC87*('Jerarq. Riesgos Plazo'!$M$65/100+1)</f>
        <v>2.0023907379964414</v>
      </c>
      <c r="AE87" s="29"/>
      <c r="AF87" s="4"/>
      <c r="AG87" s="30"/>
    </row>
    <row r="88" spans="2:33" ht="18" hidden="1" x14ac:dyDescent="0.25">
      <c r="B88" s="335" t="s">
        <v>435</v>
      </c>
      <c r="C88" s="115" t="s">
        <v>729</v>
      </c>
      <c r="D88" s="112" t="s">
        <v>447</v>
      </c>
      <c r="E88" s="113" t="s">
        <v>445</v>
      </c>
      <c r="F88" s="113">
        <v>9</v>
      </c>
      <c r="G88" s="265">
        <v>1</v>
      </c>
      <c r="H88" s="114">
        <v>35000</v>
      </c>
      <c r="I88" s="325">
        <f t="shared" si="17"/>
        <v>315000</v>
      </c>
      <c r="J88" s="29"/>
      <c r="K88" s="4">
        <v>1</v>
      </c>
      <c r="L88" s="294">
        <f>+K88*('Jerarq. Riesgos Plazo'!$M$65+1)</f>
        <v>1.1195368998220752</v>
      </c>
      <c r="M88" s="64">
        <f>+N88*(-'Jerarq. Riesgos Costos'!$J$71+1)</f>
        <v>283500</v>
      </c>
      <c r="N88" s="203">
        <f t="shared" si="19"/>
        <v>315000</v>
      </c>
      <c r="O88" s="49">
        <f>+N88*('Jerarq. Riesgos Costos'!$K$78+1)</f>
        <v>393353.30283439171</v>
      </c>
      <c r="P88" s="29"/>
      <c r="Q88" s="4">
        <f t="shared" si="22"/>
        <v>1</v>
      </c>
      <c r="R88" s="263">
        <f>+Q88*('Jerarq. Riesgos Plazo'!$M$67+1)</f>
        <v>1.3774793348724601</v>
      </c>
      <c r="S88" s="34">
        <f>+T88*(-'Jerarq. Riesgos Costos'!$P$73+1)</f>
        <v>252000</v>
      </c>
      <c r="T88" s="203">
        <f t="shared" si="18"/>
        <v>315000</v>
      </c>
      <c r="U88" s="34">
        <f>+T88*('Jerarq. Riesgos Costos'!$Q$73+1)</f>
        <v>411063.21133756684</v>
      </c>
      <c r="V88" s="29"/>
      <c r="W88" s="4">
        <v>1</v>
      </c>
      <c r="X88" s="256">
        <f>+W88*('Jerarq. Riesgos Plazo'!$M$65/100+1)</f>
        <v>1.0011953689982207</v>
      </c>
      <c r="Y88" s="29"/>
      <c r="Z88" s="4"/>
      <c r="AA88" s="30"/>
      <c r="AB88" s="29"/>
      <c r="AC88" s="4">
        <v>1</v>
      </c>
      <c r="AD88" s="256">
        <f>+AC88*('Jerarq. Riesgos Plazo'!$M$65/100+1)</f>
        <v>1.0011953689982207</v>
      </c>
      <c r="AE88" s="29"/>
      <c r="AF88" s="4"/>
      <c r="AG88" s="30"/>
    </row>
    <row r="89" spans="2:33" ht="18" hidden="1" x14ac:dyDescent="0.25">
      <c r="B89" s="335" t="s">
        <v>435</v>
      </c>
      <c r="C89" s="115" t="s">
        <v>730</v>
      </c>
      <c r="D89" s="112" t="s">
        <v>448</v>
      </c>
      <c r="E89" s="113" t="s">
        <v>429</v>
      </c>
      <c r="F89" s="113">
        <v>220</v>
      </c>
      <c r="G89" s="265">
        <v>0.3</v>
      </c>
      <c r="H89" s="114">
        <v>4000</v>
      </c>
      <c r="I89" s="325">
        <f t="shared" si="17"/>
        <v>880000</v>
      </c>
      <c r="J89" s="29"/>
      <c r="K89" s="4">
        <v>0.3</v>
      </c>
      <c r="L89" s="294">
        <f>+K89*('Jerarq. Riesgos Plazo'!$M$65+1)</f>
        <v>0.33586106994662251</v>
      </c>
      <c r="M89" s="64">
        <f>+N89*(-'Jerarq. Riesgos Costos'!$J$71+1)</f>
        <v>792000</v>
      </c>
      <c r="N89" s="203">
        <f t="shared" si="19"/>
        <v>880000</v>
      </c>
      <c r="O89" s="49">
        <f>+N89*('Jerarq. Riesgos Costos'!$K$78+1)</f>
        <v>1098891.7666484595</v>
      </c>
      <c r="P89" s="29"/>
      <c r="Q89" s="4">
        <f t="shared" si="22"/>
        <v>0.3</v>
      </c>
      <c r="R89" s="263">
        <f>+Q89*('Jerarq. Riesgos Plazo'!$M$67+1)</f>
        <v>0.41324380046173803</v>
      </c>
      <c r="S89" s="34">
        <f>+T89*(-'Jerarq. Riesgos Costos'!$P$73+1)</f>
        <v>704000</v>
      </c>
      <c r="T89" s="203">
        <f t="shared" si="18"/>
        <v>880000</v>
      </c>
      <c r="U89" s="34">
        <f>+T89*('Jerarq. Riesgos Costos'!$Q$73+1)</f>
        <v>1148367.0665938375</v>
      </c>
      <c r="V89" s="29"/>
      <c r="W89" s="4">
        <v>0.3</v>
      </c>
      <c r="X89" s="256">
        <f>+W89*('Jerarq. Riesgos Plazo'!$M$65/100+1)</f>
        <v>0.30035861069946618</v>
      </c>
      <c r="Y89" s="29"/>
      <c r="Z89" s="4"/>
      <c r="AA89" s="30"/>
      <c r="AB89" s="29"/>
      <c r="AC89" s="4">
        <v>0.3</v>
      </c>
      <c r="AD89" s="256">
        <f>+AC89*('Jerarq. Riesgos Plazo'!$M$65/100+1)</f>
        <v>0.30035861069946618</v>
      </c>
      <c r="AE89" s="29"/>
      <c r="AF89" s="4"/>
      <c r="AG89" s="30"/>
    </row>
    <row r="90" spans="2:33" ht="18" x14ac:dyDescent="0.25">
      <c r="B90" s="337" t="s">
        <v>798</v>
      </c>
      <c r="C90" s="251" t="s">
        <v>462</v>
      </c>
      <c r="D90" s="252" t="s">
        <v>805</v>
      </c>
      <c r="E90" s="253"/>
      <c r="F90" s="254"/>
      <c r="G90" s="261">
        <f>+SUM(G91:G109)</f>
        <v>10.399999999999999</v>
      </c>
      <c r="H90" s="255"/>
      <c r="I90" s="262">
        <f>+SUM(I91:I109)</f>
        <v>21943500</v>
      </c>
      <c r="J90" s="260">
        <v>8</v>
      </c>
      <c r="K90" s="261">
        <f>+SUM(K91:K109)</f>
        <v>10.399999999999999</v>
      </c>
      <c r="L90" s="256">
        <f>+SUM(L91:L109)</f>
        <v>11.643183758149581</v>
      </c>
      <c r="M90" s="260">
        <f>+SUM(M91:M109)</f>
        <v>19749150</v>
      </c>
      <c r="N90" s="261">
        <f>+SUM(N91:N109)</f>
        <v>21943500</v>
      </c>
      <c r="O90" s="262">
        <f>+SUM(O91:O109)</f>
        <v>27401740.319830079</v>
      </c>
      <c r="P90" s="260">
        <v>8</v>
      </c>
      <c r="Q90" s="261">
        <f t="shared" si="22"/>
        <v>10.399999999999999</v>
      </c>
      <c r="R90" s="262">
        <f>+Q90*('Jerarq. Riesgos Plazo'!$M$67+1)</f>
        <v>14.325785082673583</v>
      </c>
      <c r="S90" s="260">
        <f>+SUM(S91:S109)</f>
        <v>19749150</v>
      </c>
      <c r="T90" s="261">
        <f>+SUM(T91:T109)</f>
        <v>21943500</v>
      </c>
      <c r="U90" s="262">
        <f>+SUM(U91:U109)</f>
        <v>27757706.279320311</v>
      </c>
      <c r="V90" s="260">
        <v>8</v>
      </c>
      <c r="W90" s="261">
        <f>+SUM(W91:W109)</f>
        <v>10.399999999999999</v>
      </c>
      <c r="X90" s="256">
        <f>+W90*('Jerarq. Riesgos Plazo'!$M$65/100+1)</f>
        <v>10.412431837581494</v>
      </c>
      <c r="Y90" s="260"/>
      <c r="Z90" s="261"/>
      <c r="AA90" s="262"/>
      <c r="AB90" s="260">
        <v>8</v>
      </c>
      <c r="AC90" s="261">
        <f>+SUM(AC91:AC109)</f>
        <v>10.399999999999999</v>
      </c>
      <c r="AD90" s="256">
        <f>+AC90*('Jerarq. Riesgos Plazo'!$M$65/100+1)</f>
        <v>10.412431837581494</v>
      </c>
      <c r="AE90" s="260"/>
      <c r="AF90" s="261"/>
      <c r="AG90" s="262"/>
    </row>
    <row r="91" spans="2:33" ht="18" hidden="1" x14ac:dyDescent="0.25">
      <c r="B91" s="335" t="s">
        <v>499</v>
      </c>
      <c r="C91" s="115" t="s">
        <v>731</v>
      </c>
      <c r="D91" s="112" t="s">
        <v>500</v>
      </c>
      <c r="E91" s="113" t="s">
        <v>453</v>
      </c>
      <c r="F91" s="113">
        <v>3</v>
      </c>
      <c r="G91" s="265">
        <v>0.1</v>
      </c>
      <c r="H91" s="114">
        <v>25000</v>
      </c>
      <c r="I91" s="325">
        <f t="shared" si="17"/>
        <v>75000</v>
      </c>
      <c r="J91" s="29"/>
      <c r="K91" s="4">
        <v>0.1</v>
      </c>
      <c r="L91" s="294">
        <f>+K91*('Jerarq. Riesgos Plazo'!$M$65+1)</f>
        <v>0.11195368998220752</v>
      </c>
      <c r="M91" s="64">
        <f>+N91*(-'Jerarq. Riesgos Costos'!$J$71+1)</f>
        <v>67500</v>
      </c>
      <c r="N91" s="203">
        <f t="shared" si="19"/>
        <v>75000</v>
      </c>
      <c r="O91" s="49">
        <f>+N91*('Jerarq. Riesgos Costos'!$K$78+1)</f>
        <v>93655.548293902786</v>
      </c>
      <c r="P91" s="29"/>
      <c r="Q91" s="4">
        <f t="shared" si="22"/>
        <v>0.1</v>
      </c>
      <c r="R91" s="263">
        <f>+Q91*('Jerarq. Riesgos Plazo'!$M$67+1)</f>
        <v>0.13774793348724601</v>
      </c>
      <c r="S91" s="34">
        <f>+T91*(-'Jerarq. Riesgos Costos'!$P$76+1)</f>
        <v>67500</v>
      </c>
      <c r="T91" s="203">
        <f t="shared" si="18"/>
        <v>75000</v>
      </c>
      <c r="U91" s="34">
        <f>+T91*('Jerarq. Riesgos Costos'!$Q$76+1)</f>
        <v>94872.193175611159</v>
      </c>
      <c r="V91" s="29"/>
      <c r="W91" s="4">
        <v>0.1</v>
      </c>
      <c r="X91" s="256">
        <f>+W91*('Jerarq. Riesgos Plazo'!$M$65/100+1)</f>
        <v>0.10011953689982207</v>
      </c>
      <c r="Y91" s="29"/>
      <c r="Z91" s="4"/>
      <c r="AA91" s="30"/>
      <c r="AB91" s="29"/>
      <c r="AC91" s="4">
        <v>0.1</v>
      </c>
      <c r="AD91" s="256">
        <f>+AC91*('Jerarq. Riesgos Plazo'!$M$65/100+1)</f>
        <v>0.10011953689982207</v>
      </c>
      <c r="AE91" s="29"/>
      <c r="AF91" s="4"/>
      <c r="AG91" s="30"/>
    </row>
    <row r="92" spans="2:33" ht="18" hidden="1" x14ac:dyDescent="0.25">
      <c r="B92" s="335" t="s">
        <v>499</v>
      </c>
      <c r="C92" s="115" t="s">
        <v>732</v>
      </c>
      <c r="D92" s="112" t="s">
        <v>501</v>
      </c>
      <c r="E92" s="113" t="s">
        <v>453</v>
      </c>
      <c r="F92" s="113">
        <v>3</v>
      </c>
      <c r="G92" s="265">
        <v>0.2</v>
      </c>
      <c r="H92" s="114">
        <v>25000</v>
      </c>
      <c r="I92" s="325">
        <f t="shared" ref="I92:I109" si="23">+F92*H92</f>
        <v>75000</v>
      </c>
      <c r="J92" s="29"/>
      <c r="K92" s="4">
        <v>0.2</v>
      </c>
      <c r="L92" s="294">
        <f>+K92*('Jerarq. Riesgos Plazo'!$M$65+1)</f>
        <v>0.22390737996441504</v>
      </c>
      <c r="M92" s="64">
        <f>+N92*(-'Jerarq. Riesgos Costos'!$J$71+1)</f>
        <v>67500</v>
      </c>
      <c r="N92" s="203">
        <f t="shared" si="19"/>
        <v>75000</v>
      </c>
      <c r="O92" s="49">
        <f>+N92*('Jerarq. Riesgos Costos'!$K$78+1)</f>
        <v>93655.548293902786</v>
      </c>
      <c r="P92" s="29"/>
      <c r="Q92" s="4">
        <f t="shared" si="22"/>
        <v>0.2</v>
      </c>
      <c r="R92" s="263">
        <f>+Q92*('Jerarq. Riesgos Plazo'!$M$67+1)</f>
        <v>0.27549586697449202</v>
      </c>
      <c r="S92" s="34">
        <f>+T92*(-'Jerarq. Riesgos Costos'!$P$76+1)</f>
        <v>67500</v>
      </c>
      <c r="T92" s="203">
        <f t="shared" ref="T92:T148" si="24">+N92</f>
        <v>75000</v>
      </c>
      <c r="U92" s="34">
        <f>+T92*('Jerarq. Riesgos Costos'!$Q$76+1)</f>
        <v>94872.193175611159</v>
      </c>
      <c r="V92" s="29"/>
      <c r="W92" s="4">
        <v>0.2</v>
      </c>
      <c r="X92" s="256">
        <f>+W92*('Jerarq. Riesgos Plazo'!$M$65/100+1)</f>
        <v>0.20023907379964415</v>
      </c>
      <c r="Y92" s="29"/>
      <c r="Z92" s="4"/>
      <c r="AA92" s="30"/>
      <c r="AB92" s="29"/>
      <c r="AC92" s="4">
        <v>0.2</v>
      </c>
      <c r="AD92" s="256">
        <f>+AC92*('Jerarq. Riesgos Plazo'!$M$65/100+1)</f>
        <v>0.20023907379964415</v>
      </c>
      <c r="AE92" s="29"/>
      <c r="AF92" s="4"/>
      <c r="AG92" s="30"/>
    </row>
    <row r="93" spans="2:33" ht="18" hidden="1" x14ac:dyDescent="0.25">
      <c r="B93" s="335" t="s">
        <v>499</v>
      </c>
      <c r="C93" s="115" t="s">
        <v>733</v>
      </c>
      <c r="D93" s="112" t="s">
        <v>502</v>
      </c>
      <c r="E93" s="113" t="s">
        <v>453</v>
      </c>
      <c r="F93" s="113">
        <v>1</v>
      </c>
      <c r="G93" s="265">
        <v>0.1</v>
      </c>
      <c r="H93" s="114">
        <v>125000</v>
      </c>
      <c r="I93" s="325">
        <f t="shared" si="23"/>
        <v>125000</v>
      </c>
      <c r="J93" s="29"/>
      <c r="K93" s="4">
        <v>0.1</v>
      </c>
      <c r="L93" s="294">
        <f>+K93*('Jerarq. Riesgos Plazo'!$M$65+1)</f>
        <v>0.11195368998220752</v>
      </c>
      <c r="M93" s="64">
        <f>+N93*(-'Jerarq. Riesgos Costos'!$J$71+1)</f>
        <v>112500</v>
      </c>
      <c r="N93" s="203">
        <f t="shared" ref="N93:N109" si="25">+I93</f>
        <v>125000</v>
      </c>
      <c r="O93" s="49">
        <f>+N93*('Jerarq. Riesgos Costos'!$K$78+1)</f>
        <v>156092.58048983797</v>
      </c>
      <c r="P93" s="29"/>
      <c r="Q93" s="4">
        <f t="shared" si="22"/>
        <v>0.1</v>
      </c>
      <c r="R93" s="263">
        <f>+Q93*('Jerarq. Riesgos Plazo'!$M$67+1)</f>
        <v>0.13774793348724601</v>
      </c>
      <c r="S93" s="34">
        <f>+T93*(-'Jerarq. Riesgos Costos'!$P$76+1)</f>
        <v>112500</v>
      </c>
      <c r="T93" s="203">
        <f t="shared" si="24"/>
        <v>125000</v>
      </c>
      <c r="U93" s="34">
        <f>+T93*('Jerarq. Riesgos Costos'!$Q$76+1)</f>
        <v>158120.32195935195</v>
      </c>
      <c r="V93" s="29"/>
      <c r="W93" s="4">
        <v>0.1</v>
      </c>
      <c r="X93" s="256">
        <f>+W93*('Jerarq. Riesgos Plazo'!$M$65/100+1)</f>
        <v>0.10011953689982207</v>
      </c>
      <c r="Y93" s="29"/>
      <c r="Z93" s="4"/>
      <c r="AA93" s="30"/>
      <c r="AB93" s="29"/>
      <c r="AC93" s="4">
        <v>0.1</v>
      </c>
      <c r="AD93" s="256">
        <f>+AC93*('Jerarq. Riesgos Plazo'!$M$65/100+1)</f>
        <v>0.10011953689982207</v>
      </c>
      <c r="AE93" s="29"/>
      <c r="AF93" s="4"/>
      <c r="AG93" s="30"/>
    </row>
    <row r="94" spans="2:33" ht="18" hidden="1" x14ac:dyDescent="0.25">
      <c r="B94" s="335" t="s">
        <v>499</v>
      </c>
      <c r="C94" s="115" t="s">
        <v>734</v>
      </c>
      <c r="D94" s="112" t="s">
        <v>503</v>
      </c>
      <c r="E94" s="113" t="s">
        <v>472</v>
      </c>
      <c r="F94" s="113">
        <v>250</v>
      </c>
      <c r="G94" s="265">
        <v>0.6</v>
      </c>
      <c r="H94" s="114">
        <v>4000</v>
      </c>
      <c r="I94" s="325">
        <f t="shared" si="23"/>
        <v>1000000</v>
      </c>
      <c r="J94" s="29"/>
      <c r="K94" s="4">
        <v>0.6</v>
      </c>
      <c r="L94" s="294">
        <f>+K94*('Jerarq. Riesgos Plazo'!$M$65+1)</f>
        <v>0.67172213989324503</v>
      </c>
      <c r="M94" s="64">
        <f>+N94*(-'Jerarq. Riesgos Costos'!$J$71+1)</f>
        <v>900000</v>
      </c>
      <c r="N94" s="203">
        <f t="shared" si="25"/>
        <v>1000000</v>
      </c>
      <c r="O94" s="49">
        <f>+N94*('Jerarq. Riesgos Costos'!$K$78+1)</f>
        <v>1248740.6439187038</v>
      </c>
      <c r="P94" s="29"/>
      <c r="Q94" s="4">
        <f t="shared" si="22"/>
        <v>0.6</v>
      </c>
      <c r="R94" s="263">
        <f>+Q94*('Jerarq. Riesgos Plazo'!$M$67+1)</f>
        <v>0.82648760092347606</v>
      </c>
      <c r="S94" s="34">
        <f>+T94*(-'Jerarq. Riesgos Costos'!$P$76+1)</f>
        <v>900000</v>
      </c>
      <c r="T94" s="203">
        <f t="shared" si="24"/>
        <v>1000000</v>
      </c>
      <c r="U94" s="34">
        <f>+T94*('Jerarq. Riesgos Costos'!$Q$76+1)</f>
        <v>1264962.5756748156</v>
      </c>
      <c r="V94" s="29"/>
      <c r="W94" s="4">
        <v>0.6</v>
      </c>
      <c r="X94" s="256">
        <f>+W94*('Jerarq. Riesgos Plazo'!$M$65/100+1)</f>
        <v>0.60071722139893236</v>
      </c>
      <c r="Y94" s="29"/>
      <c r="Z94" s="4"/>
      <c r="AA94" s="30"/>
      <c r="AB94" s="29"/>
      <c r="AC94" s="4">
        <v>0.6</v>
      </c>
      <c r="AD94" s="256">
        <f>+AC94*('Jerarq. Riesgos Plazo'!$M$65/100+1)</f>
        <v>0.60071722139893236</v>
      </c>
      <c r="AE94" s="29"/>
      <c r="AF94" s="4"/>
      <c r="AG94" s="30"/>
    </row>
    <row r="95" spans="2:33" ht="18" hidden="1" x14ac:dyDescent="0.25">
      <c r="B95" s="335" t="s">
        <v>499</v>
      </c>
      <c r="C95" s="115" t="s">
        <v>735</v>
      </c>
      <c r="D95" s="112" t="s">
        <v>504</v>
      </c>
      <c r="E95" s="113" t="s">
        <v>472</v>
      </c>
      <c r="F95" s="113">
        <v>250</v>
      </c>
      <c r="G95" s="265">
        <v>0.5</v>
      </c>
      <c r="H95" s="114">
        <v>14749</v>
      </c>
      <c r="I95" s="325">
        <f t="shared" si="23"/>
        <v>3687250</v>
      </c>
      <c r="J95" s="29"/>
      <c r="K95" s="4">
        <v>0.5</v>
      </c>
      <c r="L95" s="294">
        <f>+K95*('Jerarq. Riesgos Plazo'!$M$65+1)</f>
        <v>0.55976844991103758</v>
      </c>
      <c r="M95" s="64">
        <f>+N95*(-'Jerarq. Riesgos Costos'!$J$71+1)</f>
        <v>3318525</v>
      </c>
      <c r="N95" s="203">
        <f t="shared" si="25"/>
        <v>3687250</v>
      </c>
      <c r="O95" s="49">
        <f>+N95*('Jerarq. Riesgos Costos'!$K$78+1)</f>
        <v>4604418.9392892411</v>
      </c>
      <c r="P95" s="29"/>
      <c r="Q95" s="4">
        <f t="shared" si="22"/>
        <v>0.5</v>
      </c>
      <c r="R95" s="263">
        <f>+Q95*('Jerarq. Riesgos Plazo'!$M$67+1)</f>
        <v>0.68873966743623005</v>
      </c>
      <c r="S95" s="34">
        <f>+T95*(-'Jerarq. Riesgos Costos'!$P$76+1)</f>
        <v>3318525</v>
      </c>
      <c r="T95" s="203">
        <f t="shared" si="24"/>
        <v>3687250</v>
      </c>
      <c r="U95" s="34">
        <f>+T95*('Jerarq. Riesgos Costos'!$Q$76+1)</f>
        <v>4664233.2571569635</v>
      </c>
      <c r="V95" s="29"/>
      <c r="W95" s="4">
        <v>0.5</v>
      </c>
      <c r="X95" s="256">
        <f>+W95*('Jerarq. Riesgos Plazo'!$M$65/100+1)</f>
        <v>0.50059768449911035</v>
      </c>
      <c r="Y95" s="29"/>
      <c r="Z95" s="4"/>
      <c r="AA95" s="30"/>
      <c r="AB95" s="29"/>
      <c r="AC95" s="4">
        <v>0.5</v>
      </c>
      <c r="AD95" s="256">
        <f>+AC95*('Jerarq. Riesgos Plazo'!$M$65/100+1)</f>
        <v>0.50059768449911035</v>
      </c>
      <c r="AE95" s="29"/>
      <c r="AF95" s="4"/>
      <c r="AG95" s="30"/>
    </row>
    <row r="96" spans="2:33" ht="18" hidden="1" x14ac:dyDescent="0.25">
      <c r="B96" s="335" t="s">
        <v>499</v>
      </c>
      <c r="C96" s="115" t="s">
        <v>736</v>
      </c>
      <c r="D96" s="112" t="s">
        <v>663</v>
      </c>
      <c r="E96" s="113" t="s">
        <v>453</v>
      </c>
      <c r="F96" s="113">
        <v>10</v>
      </c>
      <c r="G96" s="265">
        <v>0.3</v>
      </c>
      <c r="H96" s="114">
        <v>50000</v>
      </c>
      <c r="I96" s="325">
        <f t="shared" si="23"/>
        <v>500000</v>
      </c>
      <c r="J96" s="29"/>
      <c r="K96" s="4">
        <v>0.3</v>
      </c>
      <c r="L96" s="294">
        <f>+K96*('Jerarq. Riesgos Plazo'!$M$65+1)</f>
        <v>0.33586106994662251</v>
      </c>
      <c r="M96" s="64">
        <f>+N96*(-'Jerarq. Riesgos Costos'!$J$71+1)</f>
        <v>450000</v>
      </c>
      <c r="N96" s="203">
        <f t="shared" si="25"/>
        <v>500000</v>
      </c>
      <c r="O96" s="49">
        <f>+N96*('Jerarq. Riesgos Costos'!$K$78+1)</f>
        <v>624370.32195935189</v>
      </c>
      <c r="P96" s="29"/>
      <c r="Q96" s="4">
        <f t="shared" si="22"/>
        <v>0.3</v>
      </c>
      <c r="R96" s="263">
        <f>+Q96*('Jerarq. Riesgos Plazo'!$M$67+1)</f>
        <v>0.41324380046173803</v>
      </c>
      <c r="S96" s="34">
        <f>+T96*(-'Jerarq. Riesgos Costos'!$P$76+1)</f>
        <v>450000</v>
      </c>
      <c r="T96" s="203">
        <f t="shared" si="24"/>
        <v>500000</v>
      </c>
      <c r="U96" s="34">
        <f>+T96*('Jerarq. Riesgos Costos'!$Q$76+1)</f>
        <v>632481.28783740778</v>
      </c>
      <c r="V96" s="29"/>
      <c r="W96" s="4">
        <v>0.3</v>
      </c>
      <c r="X96" s="256">
        <f>+W96*('Jerarq. Riesgos Plazo'!$M$65/100+1)</f>
        <v>0.30035861069946618</v>
      </c>
      <c r="Y96" s="29"/>
      <c r="Z96" s="4"/>
      <c r="AA96" s="30"/>
      <c r="AB96" s="29"/>
      <c r="AC96" s="4">
        <v>0.3</v>
      </c>
      <c r="AD96" s="256">
        <f>+AC96*('Jerarq. Riesgos Plazo'!$M$65/100+1)</f>
        <v>0.30035861069946618</v>
      </c>
      <c r="AE96" s="29"/>
      <c r="AF96" s="4"/>
      <c r="AG96" s="30"/>
    </row>
    <row r="97" spans="2:33" ht="18" hidden="1" x14ac:dyDescent="0.25">
      <c r="B97" s="335" t="s">
        <v>499</v>
      </c>
      <c r="C97" s="115" t="s">
        <v>737</v>
      </c>
      <c r="D97" s="112" t="s">
        <v>515</v>
      </c>
      <c r="E97" s="113" t="s">
        <v>472</v>
      </c>
      <c r="F97" s="113">
        <v>30</v>
      </c>
      <c r="G97" s="265">
        <v>0.1</v>
      </c>
      <c r="H97" s="114">
        <v>12000</v>
      </c>
      <c r="I97" s="325">
        <f t="shared" si="23"/>
        <v>360000</v>
      </c>
      <c r="J97" s="29"/>
      <c r="K97" s="4">
        <v>0.1</v>
      </c>
      <c r="L97" s="294">
        <f>+K97*('Jerarq. Riesgos Plazo'!$M$65+1)</f>
        <v>0.11195368998220752</v>
      </c>
      <c r="M97" s="64">
        <f>+N97*(-'Jerarq. Riesgos Costos'!$J$71+1)</f>
        <v>324000</v>
      </c>
      <c r="N97" s="203">
        <f t="shared" si="25"/>
        <v>360000</v>
      </c>
      <c r="O97" s="49">
        <f>+N97*('Jerarq. Riesgos Costos'!$K$78+1)</f>
        <v>449546.63181073341</v>
      </c>
      <c r="P97" s="29"/>
      <c r="Q97" s="4">
        <f t="shared" si="22"/>
        <v>0.1</v>
      </c>
      <c r="R97" s="263">
        <f>+Q97*('Jerarq. Riesgos Plazo'!$M$67+1)</f>
        <v>0.13774793348724601</v>
      </c>
      <c r="S97" s="34">
        <f>+T97*(-'Jerarq. Riesgos Costos'!$P$76+1)</f>
        <v>324000</v>
      </c>
      <c r="T97" s="203">
        <f t="shared" si="24"/>
        <v>360000</v>
      </c>
      <c r="U97" s="34">
        <f>+T97*('Jerarq. Riesgos Costos'!$Q$76+1)</f>
        <v>455386.52724293357</v>
      </c>
      <c r="V97" s="29"/>
      <c r="W97" s="4">
        <v>0.1</v>
      </c>
      <c r="X97" s="256">
        <f>+W97*('Jerarq. Riesgos Plazo'!$M$65/100+1)</f>
        <v>0.10011953689982207</v>
      </c>
      <c r="Y97" s="29"/>
      <c r="Z97" s="4"/>
      <c r="AA97" s="30"/>
      <c r="AB97" s="29"/>
      <c r="AC97" s="4">
        <v>0.1</v>
      </c>
      <c r="AD97" s="256">
        <f>+AC97*('Jerarq. Riesgos Plazo'!$M$65/100+1)</f>
        <v>0.10011953689982207</v>
      </c>
      <c r="AE97" s="29"/>
      <c r="AF97" s="4"/>
      <c r="AG97" s="30"/>
    </row>
    <row r="98" spans="2:33" ht="18" hidden="1" x14ac:dyDescent="0.25">
      <c r="B98" s="335" t="s">
        <v>499</v>
      </c>
      <c r="C98" s="115" t="s">
        <v>738</v>
      </c>
      <c r="D98" s="112" t="s">
        <v>505</v>
      </c>
      <c r="E98" s="113" t="s">
        <v>453</v>
      </c>
      <c r="F98" s="113">
        <v>1</v>
      </c>
      <c r="G98" s="265">
        <v>0.1</v>
      </c>
      <c r="H98" s="114">
        <v>50000</v>
      </c>
      <c r="I98" s="325">
        <f t="shared" si="23"/>
        <v>50000</v>
      </c>
      <c r="J98" s="29"/>
      <c r="K98" s="4">
        <v>0.1</v>
      </c>
      <c r="L98" s="294">
        <f>+K98*('Jerarq. Riesgos Plazo'!$M$65+1)</f>
        <v>0.11195368998220752</v>
      </c>
      <c r="M98" s="64">
        <f>+N98*(-'Jerarq. Riesgos Costos'!$J$71+1)</f>
        <v>45000</v>
      </c>
      <c r="N98" s="203">
        <f t="shared" si="25"/>
        <v>50000</v>
      </c>
      <c r="O98" s="49">
        <f>+N98*('Jerarq. Riesgos Costos'!$K$78+1)</f>
        <v>62437.032195935193</v>
      </c>
      <c r="P98" s="29"/>
      <c r="Q98" s="4">
        <f t="shared" si="22"/>
        <v>0.1</v>
      </c>
      <c r="R98" s="263">
        <f>+Q98*('Jerarq. Riesgos Plazo'!$M$67+1)</f>
        <v>0.13774793348724601</v>
      </c>
      <c r="S98" s="34">
        <f>+T98*(-'Jerarq. Riesgos Costos'!$P$76+1)</f>
        <v>45000</v>
      </c>
      <c r="T98" s="203">
        <f t="shared" si="24"/>
        <v>50000</v>
      </c>
      <c r="U98" s="34">
        <f>+T98*('Jerarq. Riesgos Costos'!$Q$76+1)</f>
        <v>63248.128783740773</v>
      </c>
      <c r="V98" s="29"/>
      <c r="W98" s="4">
        <v>0.1</v>
      </c>
      <c r="X98" s="256">
        <f>+W98*('Jerarq. Riesgos Plazo'!$M$65/100+1)</f>
        <v>0.10011953689982207</v>
      </c>
      <c r="Y98" s="29"/>
      <c r="Z98" s="4"/>
      <c r="AA98" s="30"/>
      <c r="AB98" s="29"/>
      <c r="AC98" s="4">
        <v>0.1</v>
      </c>
      <c r="AD98" s="256">
        <f>+AC98*('Jerarq. Riesgos Plazo'!$M$65/100+1)</f>
        <v>0.10011953689982207</v>
      </c>
      <c r="AE98" s="29"/>
      <c r="AF98" s="4"/>
      <c r="AG98" s="30"/>
    </row>
    <row r="99" spans="2:33" ht="18" hidden="1" x14ac:dyDescent="0.25">
      <c r="B99" s="335" t="s">
        <v>499</v>
      </c>
      <c r="C99" s="115" t="s">
        <v>739</v>
      </c>
      <c r="D99" s="112" t="s">
        <v>506</v>
      </c>
      <c r="E99" s="113" t="s">
        <v>472</v>
      </c>
      <c r="F99" s="113">
        <v>250</v>
      </c>
      <c r="G99" s="265">
        <v>2</v>
      </c>
      <c r="H99" s="114">
        <v>14749</v>
      </c>
      <c r="I99" s="325">
        <f t="shared" si="23"/>
        <v>3687250</v>
      </c>
      <c r="J99" s="29"/>
      <c r="K99" s="4">
        <v>2</v>
      </c>
      <c r="L99" s="294">
        <f>+K99*('Jerarq. Riesgos Plazo'!$M$65+1)</f>
        <v>2.2390737996441503</v>
      </c>
      <c r="M99" s="64">
        <f>+N99*(-'Jerarq. Riesgos Costos'!$J$71+1)</f>
        <v>3318525</v>
      </c>
      <c r="N99" s="203">
        <f t="shared" si="25"/>
        <v>3687250</v>
      </c>
      <c r="O99" s="49">
        <f>+N99*('Jerarq. Riesgos Costos'!$K$78+1)</f>
        <v>4604418.9392892411</v>
      </c>
      <c r="P99" s="29"/>
      <c r="Q99" s="4">
        <f t="shared" si="22"/>
        <v>2</v>
      </c>
      <c r="R99" s="263">
        <f>+Q99*('Jerarq. Riesgos Plazo'!$M$67+1)</f>
        <v>2.7549586697449202</v>
      </c>
      <c r="S99" s="34">
        <f>+T99*(-'Jerarq. Riesgos Costos'!$P$76+1)</f>
        <v>3318525</v>
      </c>
      <c r="T99" s="203">
        <f t="shared" si="24"/>
        <v>3687250</v>
      </c>
      <c r="U99" s="34">
        <f>+T99*('Jerarq. Riesgos Costos'!$Q$76+1)</f>
        <v>4664233.2571569635</v>
      </c>
      <c r="V99" s="29"/>
      <c r="W99" s="4">
        <v>2</v>
      </c>
      <c r="X99" s="256">
        <f>+W99*('Jerarq. Riesgos Plazo'!$M$65/100+1)</f>
        <v>2.0023907379964414</v>
      </c>
      <c r="Y99" s="29"/>
      <c r="Z99" s="4"/>
      <c r="AA99" s="30"/>
      <c r="AB99" s="29"/>
      <c r="AC99" s="4">
        <v>2</v>
      </c>
      <c r="AD99" s="256">
        <f>+AC99*('Jerarq. Riesgos Plazo'!$M$65/100+1)</f>
        <v>2.0023907379964414</v>
      </c>
      <c r="AE99" s="29"/>
      <c r="AF99" s="4"/>
      <c r="AG99" s="30"/>
    </row>
    <row r="100" spans="2:33" ht="18" hidden="1" x14ac:dyDescent="0.25">
      <c r="B100" s="335" t="s">
        <v>499</v>
      </c>
      <c r="C100" s="115" t="s">
        <v>740</v>
      </c>
      <c r="D100" s="112" t="s">
        <v>507</v>
      </c>
      <c r="E100" s="113" t="s">
        <v>472</v>
      </c>
      <c r="F100" s="113">
        <v>250</v>
      </c>
      <c r="G100" s="265">
        <v>0.1</v>
      </c>
      <c r="H100" s="114">
        <v>4000</v>
      </c>
      <c r="I100" s="325">
        <f t="shared" si="23"/>
        <v>1000000</v>
      </c>
      <c r="J100" s="29"/>
      <c r="K100" s="4">
        <v>0.1</v>
      </c>
      <c r="L100" s="294">
        <f>+K100*('Jerarq. Riesgos Plazo'!$M$65+1)</f>
        <v>0.11195368998220752</v>
      </c>
      <c r="M100" s="64">
        <f>+N100*(-'Jerarq. Riesgos Costos'!$J$71+1)</f>
        <v>900000</v>
      </c>
      <c r="N100" s="203">
        <f t="shared" si="25"/>
        <v>1000000</v>
      </c>
      <c r="O100" s="49">
        <f>+N100*('Jerarq. Riesgos Costos'!$K$78+1)</f>
        <v>1248740.6439187038</v>
      </c>
      <c r="P100" s="29"/>
      <c r="Q100" s="4">
        <f t="shared" si="22"/>
        <v>0.1</v>
      </c>
      <c r="R100" s="263">
        <f>+Q100*('Jerarq. Riesgos Plazo'!$M$67+1)</f>
        <v>0.13774793348724601</v>
      </c>
      <c r="S100" s="34">
        <f>+T100*(-'Jerarq. Riesgos Costos'!$P$76+1)</f>
        <v>900000</v>
      </c>
      <c r="T100" s="203">
        <f t="shared" si="24"/>
        <v>1000000</v>
      </c>
      <c r="U100" s="34">
        <f>+T100*('Jerarq. Riesgos Costos'!$Q$76+1)</f>
        <v>1264962.5756748156</v>
      </c>
      <c r="V100" s="29"/>
      <c r="W100" s="4">
        <v>0.1</v>
      </c>
      <c r="X100" s="256">
        <f>+W100*('Jerarq. Riesgos Plazo'!$M$65/100+1)</f>
        <v>0.10011953689982207</v>
      </c>
      <c r="Y100" s="29"/>
      <c r="Z100" s="4"/>
      <c r="AA100" s="30"/>
      <c r="AB100" s="29"/>
      <c r="AC100" s="4">
        <v>0.1</v>
      </c>
      <c r="AD100" s="256">
        <f>+AC100*('Jerarq. Riesgos Plazo'!$M$65/100+1)</f>
        <v>0.10011953689982207</v>
      </c>
      <c r="AE100" s="29"/>
      <c r="AF100" s="4"/>
      <c r="AG100" s="30"/>
    </row>
    <row r="101" spans="2:33" ht="18" hidden="1" x14ac:dyDescent="0.25">
      <c r="B101" s="335" t="s">
        <v>499</v>
      </c>
      <c r="C101" s="115" t="s">
        <v>741</v>
      </c>
      <c r="D101" s="112" t="s">
        <v>508</v>
      </c>
      <c r="E101" s="113" t="s">
        <v>453</v>
      </c>
      <c r="F101" s="113">
        <v>1</v>
      </c>
      <c r="G101" s="265">
        <v>1</v>
      </c>
      <c r="H101" s="114">
        <v>100000</v>
      </c>
      <c r="I101" s="325">
        <f t="shared" si="23"/>
        <v>100000</v>
      </c>
      <c r="J101" s="29"/>
      <c r="K101" s="4">
        <v>1</v>
      </c>
      <c r="L101" s="294">
        <f>+K101*('Jerarq. Riesgos Plazo'!$M$65+1)</f>
        <v>1.1195368998220752</v>
      </c>
      <c r="M101" s="64">
        <f>+N101*(-'Jerarq. Riesgos Costos'!$J$71+1)</f>
        <v>90000</v>
      </c>
      <c r="N101" s="203">
        <f t="shared" si="25"/>
        <v>100000</v>
      </c>
      <c r="O101" s="49">
        <f>+N101*('Jerarq. Riesgos Costos'!$K$78+1)</f>
        <v>124874.06439187039</v>
      </c>
      <c r="P101" s="29"/>
      <c r="Q101" s="4">
        <f t="shared" si="22"/>
        <v>1</v>
      </c>
      <c r="R101" s="263">
        <f>+Q101*('Jerarq. Riesgos Plazo'!$M$67+1)</f>
        <v>1.3774793348724601</v>
      </c>
      <c r="S101" s="34">
        <f>+T101*(-'Jerarq. Riesgos Costos'!$P$76+1)</f>
        <v>90000</v>
      </c>
      <c r="T101" s="203">
        <f t="shared" si="24"/>
        <v>100000</v>
      </c>
      <c r="U101" s="34">
        <f>+T101*('Jerarq. Riesgos Costos'!$Q$76+1)</f>
        <v>126496.25756748155</v>
      </c>
      <c r="V101" s="29"/>
      <c r="W101" s="4">
        <v>1</v>
      </c>
      <c r="X101" s="256">
        <f>+W101*('Jerarq. Riesgos Plazo'!$M$65/100+1)</f>
        <v>1.0011953689982207</v>
      </c>
      <c r="Y101" s="29"/>
      <c r="Z101" s="4"/>
      <c r="AA101" s="30"/>
      <c r="AB101" s="29"/>
      <c r="AC101" s="4">
        <v>1</v>
      </c>
      <c r="AD101" s="256">
        <f>+AC101*('Jerarq. Riesgos Plazo'!$M$65/100+1)</f>
        <v>1.0011953689982207</v>
      </c>
      <c r="AE101" s="29"/>
      <c r="AF101" s="4"/>
      <c r="AG101" s="30"/>
    </row>
    <row r="102" spans="2:33" ht="18" hidden="1" x14ac:dyDescent="0.25">
      <c r="B102" s="335" t="s">
        <v>499</v>
      </c>
      <c r="C102" s="115" t="s">
        <v>742</v>
      </c>
      <c r="D102" s="112" t="s">
        <v>509</v>
      </c>
      <c r="E102" s="113" t="s">
        <v>453</v>
      </c>
      <c r="F102" s="113">
        <v>4</v>
      </c>
      <c r="G102" s="265">
        <v>0.5</v>
      </c>
      <c r="H102" s="114">
        <v>600000</v>
      </c>
      <c r="I102" s="325">
        <f t="shared" si="23"/>
        <v>2400000</v>
      </c>
      <c r="J102" s="29"/>
      <c r="K102" s="4">
        <v>0.5</v>
      </c>
      <c r="L102" s="294">
        <f>+K102*('Jerarq. Riesgos Plazo'!$M$65+1)</f>
        <v>0.55976844991103758</v>
      </c>
      <c r="M102" s="64">
        <f>+N102*(-'Jerarq. Riesgos Costos'!$J$71+1)</f>
        <v>2160000</v>
      </c>
      <c r="N102" s="203">
        <f t="shared" si="25"/>
        <v>2400000</v>
      </c>
      <c r="O102" s="49">
        <f>+N102*('Jerarq. Riesgos Costos'!$K$78+1)</f>
        <v>2996977.5454048892</v>
      </c>
      <c r="P102" s="29"/>
      <c r="Q102" s="4">
        <f t="shared" si="22"/>
        <v>0.5</v>
      </c>
      <c r="R102" s="263">
        <f>+Q102*('Jerarq. Riesgos Plazo'!$M$67+1)</f>
        <v>0.68873966743623005</v>
      </c>
      <c r="S102" s="34">
        <f>+T102*(-'Jerarq. Riesgos Costos'!$P$76+1)</f>
        <v>2160000</v>
      </c>
      <c r="T102" s="203">
        <f t="shared" si="24"/>
        <v>2400000</v>
      </c>
      <c r="U102" s="34">
        <f>+T102*('Jerarq. Riesgos Costos'!$Q$76+1)</f>
        <v>3035910.1816195571</v>
      </c>
      <c r="V102" s="29"/>
      <c r="W102" s="4">
        <v>0.5</v>
      </c>
      <c r="X102" s="256">
        <f>+W102*('Jerarq. Riesgos Plazo'!$M$65/100+1)</f>
        <v>0.50059768449911035</v>
      </c>
      <c r="Y102" s="29"/>
      <c r="Z102" s="4"/>
      <c r="AA102" s="30"/>
      <c r="AB102" s="29"/>
      <c r="AC102" s="4">
        <v>0.5</v>
      </c>
      <c r="AD102" s="256">
        <f>+AC102*('Jerarq. Riesgos Plazo'!$M$65/100+1)</f>
        <v>0.50059768449911035</v>
      </c>
      <c r="AE102" s="29"/>
      <c r="AF102" s="4"/>
      <c r="AG102" s="30"/>
    </row>
    <row r="103" spans="2:33" ht="18" hidden="1" x14ac:dyDescent="0.25">
      <c r="B103" s="335" t="s">
        <v>499</v>
      </c>
      <c r="C103" s="115" t="s">
        <v>743</v>
      </c>
      <c r="D103" s="112" t="s">
        <v>510</v>
      </c>
      <c r="E103" s="113" t="s">
        <v>472</v>
      </c>
      <c r="F103" s="113">
        <v>80</v>
      </c>
      <c r="G103" s="265">
        <v>0.6</v>
      </c>
      <c r="H103" s="114">
        <v>15000</v>
      </c>
      <c r="I103" s="325">
        <f t="shared" si="23"/>
        <v>1200000</v>
      </c>
      <c r="J103" s="29"/>
      <c r="K103" s="4">
        <v>0.6</v>
      </c>
      <c r="L103" s="294">
        <f>+K103*('Jerarq. Riesgos Plazo'!$M$65+1)</f>
        <v>0.67172213989324503</v>
      </c>
      <c r="M103" s="64">
        <f>+N103*(-'Jerarq. Riesgos Costos'!$J$71+1)</f>
        <v>1080000</v>
      </c>
      <c r="N103" s="203">
        <f t="shared" si="25"/>
        <v>1200000</v>
      </c>
      <c r="O103" s="49">
        <f>+N103*('Jerarq. Riesgos Costos'!$K$78+1)</f>
        <v>1498488.7727024446</v>
      </c>
      <c r="P103" s="29"/>
      <c r="Q103" s="4">
        <f t="shared" si="22"/>
        <v>0.6</v>
      </c>
      <c r="R103" s="263">
        <f>+Q103*('Jerarq. Riesgos Plazo'!$M$67+1)</f>
        <v>0.82648760092347606</v>
      </c>
      <c r="S103" s="34">
        <f>+T103*(-'Jerarq. Riesgos Costos'!$P$76+1)</f>
        <v>1080000</v>
      </c>
      <c r="T103" s="203">
        <f t="shared" si="24"/>
        <v>1200000</v>
      </c>
      <c r="U103" s="34">
        <f>+T103*('Jerarq. Riesgos Costos'!$Q$76+1)</f>
        <v>1517955.0908097785</v>
      </c>
      <c r="V103" s="29"/>
      <c r="W103" s="4">
        <v>0.6</v>
      </c>
      <c r="X103" s="256">
        <f>+W103*('Jerarq. Riesgos Plazo'!$M$65/100+1)</f>
        <v>0.60071722139893236</v>
      </c>
      <c r="Y103" s="29"/>
      <c r="Z103" s="4"/>
      <c r="AA103" s="30"/>
      <c r="AB103" s="29"/>
      <c r="AC103" s="4">
        <v>0.6</v>
      </c>
      <c r="AD103" s="256">
        <f>+AC103*('Jerarq. Riesgos Plazo'!$M$65/100+1)</f>
        <v>0.60071722139893236</v>
      </c>
      <c r="AE103" s="29"/>
      <c r="AF103" s="4"/>
      <c r="AG103" s="30"/>
    </row>
    <row r="104" spans="2:33" ht="18" hidden="1" x14ac:dyDescent="0.25">
      <c r="B104" s="335" t="s">
        <v>499</v>
      </c>
      <c r="C104" s="115" t="s">
        <v>744</v>
      </c>
      <c r="D104" s="112" t="s">
        <v>511</v>
      </c>
      <c r="E104" s="113" t="s">
        <v>472</v>
      </c>
      <c r="F104" s="113">
        <v>80</v>
      </c>
      <c r="G104" s="265">
        <v>0.6</v>
      </c>
      <c r="H104" s="114">
        <v>15000</v>
      </c>
      <c r="I104" s="325">
        <f t="shared" si="23"/>
        <v>1200000</v>
      </c>
      <c r="J104" s="29"/>
      <c r="K104" s="4">
        <v>0.6</v>
      </c>
      <c r="L104" s="294">
        <f>+K104*('Jerarq. Riesgos Plazo'!$M$65+1)</f>
        <v>0.67172213989324503</v>
      </c>
      <c r="M104" s="64">
        <f>+N104*(-'Jerarq. Riesgos Costos'!$J$71+1)</f>
        <v>1080000</v>
      </c>
      <c r="N104" s="203">
        <f t="shared" si="25"/>
        <v>1200000</v>
      </c>
      <c r="O104" s="49">
        <f>+N104*('Jerarq. Riesgos Costos'!$K$78+1)</f>
        <v>1498488.7727024446</v>
      </c>
      <c r="P104" s="29"/>
      <c r="Q104" s="4">
        <f t="shared" si="22"/>
        <v>0.6</v>
      </c>
      <c r="R104" s="263">
        <f>+Q104*('Jerarq. Riesgos Plazo'!$M$67+1)</f>
        <v>0.82648760092347606</v>
      </c>
      <c r="S104" s="34">
        <f>+T104*(-'Jerarq. Riesgos Costos'!$P$76+1)</f>
        <v>1080000</v>
      </c>
      <c r="T104" s="203">
        <f t="shared" si="24"/>
        <v>1200000</v>
      </c>
      <c r="U104" s="34">
        <f>+T104*('Jerarq. Riesgos Costos'!$Q$76+1)</f>
        <v>1517955.0908097785</v>
      </c>
      <c r="V104" s="29"/>
      <c r="W104" s="4">
        <v>0.6</v>
      </c>
      <c r="X104" s="256">
        <f>+W104*('Jerarq. Riesgos Plazo'!$M$65/100+1)</f>
        <v>0.60071722139893236</v>
      </c>
      <c r="Y104" s="29"/>
      <c r="Z104" s="4"/>
      <c r="AA104" s="30"/>
      <c r="AB104" s="29"/>
      <c r="AC104" s="4">
        <v>0.6</v>
      </c>
      <c r="AD104" s="256">
        <f>+AC104*('Jerarq. Riesgos Plazo'!$M$65/100+1)</f>
        <v>0.60071722139893236</v>
      </c>
      <c r="AE104" s="29"/>
      <c r="AF104" s="4"/>
      <c r="AG104" s="30"/>
    </row>
    <row r="105" spans="2:33" ht="18" hidden="1" x14ac:dyDescent="0.25">
      <c r="B105" s="335" t="s">
        <v>499</v>
      </c>
      <c r="C105" s="115" t="s">
        <v>745</v>
      </c>
      <c r="D105" s="112" t="s">
        <v>512</v>
      </c>
      <c r="E105" s="113" t="s">
        <v>472</v>
      </c>
      <c r="F105" s="113">
        <v>80</v>
      </c>
      <c r="G105" s="265">
        <v>0.2</v>
      </c>
      <c r="H105" s="114">
        <v>15000</v>
      </c>
      <c r="I105" s="325">
        <f t="shared" si="23"/>
        <v>1200000</v>
      </c>
      <c r="J105" s="29"/>
      <c r="K105" s="4">
        <v>0.2</v>
      </c>
      <c r="L105" s="294">
        <f>+K105*('Jerarq. Riesgos Plazo'!$M$65+1)</f>
        <v>0.22390737996441504</v>
      </c>
      <c r="M105" s="64">
        <f>+N105*(-'Jerarq. Riesgos Costos'!$J$71+1)</f>
        <v>1080000</v>
      </c>
      <c r="N105" s="203">
        <f t="shared" si="25"/>
        <v>1200000</v>
      </c>
      <c r="O105" s="49">
        <f>+N105*('Jerarq. Riesgos Costos'!$K$78+1)</f>
        <v>1498488.7727024446</v>
      </c>
      <c r="P105" s="29"/>
      <c r="Q105" s="4">
        <f t="shared" si="22"/>
        <v>0.2</v>
      </c>
      <c r="R105" s="263">
        <f>+Q105*('Jerarq. Riesgos Plazo'!$M$67+1)</f>
        <v>0.27549586697449202</v>
      </c>
      <c r="S105" s="34">
        <f>+T105*(-'Jerarq. Riesgos Costos'!$P$76+1)</f>
        <v>1080000</v>
      </c>
      <c r="T105" s="203">
        <f t="shared" si="24"/>
        <v>1200000</v>
      </c>
      <c r="U105" s="34">
        <f>+T105*('Jerarq. Riesgos Costos'!$Q$76+1)</f>
        <v>1517955.0908097785</v>
      </c>
      <c r="V105" s="29"/>
      <c r="W105" s="4">
        <v>0.2</v>
      </c>
      <c r="X105" s="256">
        <f>+W105*('Jerarq. Riesgos Plazo'!$M$65/100+1)</f>
        <v>0.20023907379964415</v>
      </c>
      <c r="Y105" s="29"/>
      <c r="Z105" s="4"/>
      <c r="AA105" s="30"/>
      <c r="AB105" s="29"/>
      <c r="AC105" s="4">
        <v>0.2</v>
      </c>
      <c r="AD105" s="256">
        <f>+AC105*('Jerarq. Riesgos Plazo'!$M$65/100+1)</f>
        <v>0.20023907379964415</v>
      </c>
      <c r="AE105" s="29"/>
      <c r="AF105" s="4"/>
      <c r="AG105" s="30"/>
    </row>
    <row r="106" spans="2:33" ht="18" hidden="1" x14ac:dyDescent="0.25">
      <c r="B106" s="335" t="s">
        <v>499</v>
      </c>
      <c r="C106" s="115" t="s">
        <v>746</v>
      </c>
      <c r="D106" s="112" t="s">
        <v>513</v>
      </c>
      <c r="E106" s="113" t="s">
        <v>472</v>
      </c>
      <c r="F106" s="113">
        <v>80</v>
      </c>
      <c r="G106" s="265">
        <v>0.1</v>
      </c>
      <c r="H106" s="114">
        <v>20000</v>
      </c>
      <c r="I106" s="325">
        <f t="shared" si="23"/>
        <v>1600000</v>
      </c>
      <c r="J106" s="29"/>
      <c r="K106" s="4">
        <v>0.1</v>
      </c>
      <c r="L106" s="294">
        <f>+K106*('Jerarq. Riesgos Plazo'!$M$65+1)</f>
        <v>0.11195368998220752</v>
      </c>
      <c r="M106" s="64">
        <f>+N106*(-'Jerarq. Riesgos Costos'!$J$71+1)</f>
        <v>1440000</v>
      </c>
      <c r="N106" s="203">
        <f t="shared" si="25"/>
        <v>1600000</v>
      </c>
      <c r="O106" s="49">
        <f>+N106*('Jerarq. Riesgos Costos'!$K$78+1)</f>
        <v>1997985.0302699262</v>
      </c>
      <c r="P106" s="29"/>
      <c r="Q106" s="4">
        <f t="shared" si="22"/>
        <v>0.1</v>
      </c>
      <c r="R106" s="263">
        <f>+Q106*('Jerarq. Riesgos Plazo'!$M$67+1)</f>
        <v>0.13774793348724601</v>
      </c>
      <c r="S106" s="34">
        <f>+T106*(-'Jerarq. Riesgos Costos'!$P$76+1)</f>
        <v>1440000</v>
      </c>
      <c r="T106" s="203">
        <f t="shared" si="24"/>
        <v>1600000</v>
      </c>
      <c r="U106" s="34">
        <f>+T106*('Jerarq. Riesgos Costos'!$Q$76+1)</f>
        <v>2023940.1210797047</v>
      </c>
      <c r="V106" s="29"/>
      <c r="W106" s="4">
        <v>0.1</v>
      </c>
      <c r="X106" s="256">
        <f>+W106*('Jerarq. Riesgos Plazo'!$M$65/100+1)</f>
        <v>0.10011953689982207</v>
      </c>
      <c r="Y106" s="29"/>
      <c r="Z106" s="4"/>
      <c r="AA106" s="30"/>
      <c r="AB106" s="29"/>
      <c r="AC106" s="4">
        <v>0.1</v>
      </c>
      <c r="AD106" s="256">
        <f>+AC106*('Jerarq. Riesgos Plazo'!$M$65/100+1)</f>
        <v>0.10011953689982207</v>
      </c>
      <c r="AE106" s="29"/>
      <c r="AF106" s="4"/>
      <c r="AG106" s="30"/>
    </row>
    <row r="107" spans="2:33" ht="18" hidden="1" x14ac:dyDescent="0.25">
      <c r="B107" s="335" t="s">
        <v>499</v>
      </c>
      <c r="C107" s="115" t="s">
        <v>747</v>
      </c>
      <c r="D107" s="112" t="s">
        <v>514</v>
      </c>
      <c r="E107" s="113" t="s">
        <v>453</v>
      </c>
      <c r="F107" s="113">
        <v>6</v>
      </c>
      <c r="G107" s="265">
        <v>0.3</v>
      </c>
      <c r="H107" s="114">
        <v>15000</v>
      </c>
      <c r="I107" s="325">
        <f t="shared" si="23"/>
        <v>90000</v>
      </c>
      <c r="J107" s="29"/>
      <c r="K107" s="4">
        <v>0.3</v>
      </c>
      <c r="L107" s="294">
        <f>+K107*('Jerarq. Riesgos Plazo'!$M$65+1)</f>
        <v>0.33586106994662251</v>
      </c>
      <c r="M107" s="64">
        <f>+N107*(-'Jerarq. Riesgos Costos'!$J$71+1)</f>
        <v>81000</v>
      </c>
      <c r="N107" s="203">
        <f t="shared" si="25"/>
        <v>90000</v>
      </c>
      <c r="O107" s="49">
        <f>+N107*('Jerarq. Riesgos Costos'!$K$78+1)</f>
        <v>112386.65795268335</v>
      </c>
      <c r="P107" s="29"/>
      <c r="Q107" s="4">
        <f t="shared" si="22"/>
        <v>0.3</v>
      </c>
      <c r="R107" s="263">
        <f>+Q107*('Jerarq. Riesgos Plazo'!$M$67+1)</f>
        <v>0.41324380046173803</v>
      </c>
      <c r="S107" s="34">
        <f>+T107*(-'Jerarq. Riesgos Costos'!$P$76+1)</f>
        <v>81000</v>
      </c>
      <c r="T107" s="203">
        <f t="shared" si="24"/>
        <v>90000</v>
      </c>
      <c r="U107" s="34">
        <f>+T107*('Jerarq. Riesgos Costos'!$Q$76+1)</f>
        <v>113846.63181073339</v>
      </c>
      <c r="V107" s="29"/>
      <c r="W107" s="4">
        <v>0.3</v>
      </c>
      <c r="X107" s="256">
        <f>+W107*('Jerarq. Riesgos Plazo'!$M$65/100+1)</f>
        <v>0.30035861069946618</v>
      </c>
      <c r="Y107" s="29"/>
      <c r="Z107" s="4"/>
      <c r="AA107" s="30"/>
      <c r="AB107" s="29"/>
      <c r="AC107" s="4">
        <v>0.3</v>
      </c>
      <c r="AD107" s="256">
        <f>+AC107*('Jerarq. Riesgos Plazo'!$M$65/100+1)</f>
        <v>0.30035861069946618</v>
      </c>
      <c r="AE107" s="29"/>
      <c r="AF107" s="4"/>
      <c r="AG107" s="30"/>
    </row>
    <row r="108" spans="2:33" ht="18" hidden="1" x14ac:dyDescent="0.25">
      <c r="B108" s="335" t="s">
        <v>499</v>
      </c>
      <c r="C108" s="115" t="s">
        <v>748</v>
      </c>
      <c r="D108" s="112" t="s">
        <v>664</v>
      </c>
      <c r="E108" s="113" t="s">
        <v>472</v>
      </c>
      <c r="F108" s="113">
        <v>17</v>
      </c>
      <c r="G108" s="265">
        <v>2</v>
      </c>
      <c r="H108" s="114">
        <v>132000</v>
      </c>
      <c r="I108" s="325">
        <f t="shared" si="23"/>
        <v>2244000</v>
      </c>
      <c r="J108" s="29"/>
      <c r="K108" s="4">
        <v>2</v>
      </c>
      <c r="L108" s="294">
        <f>+K108*('Jerarq. Riesgos Plazo'!$M$65+1)</f>
        <v>2.2390737996441503</v>
      </c>
      <c r="M108" s="64">
        <f>+N108*(-'Jerarq. Riesgos Costos'!$J$71+1)</f>
        <v>2019600</v>
      </c>
      <c r="N108" s="203">
        <f t="shared" si="25"/>
        <v>2244000</v>
      </c>
      <c r="O108" s="49">
        <f>+N108*('Jerarq. Riesgos Costos'!$K$78+1)</f>
        <v>2802174.0049535716</v>
      </c>
      <c r="P108" s="29"/>
      <c r="Q108" s="4">
        <f t="shared" si="22"/>
        <v>2</v>
      </c>
      <c r="R108" s="263">
        <f>+Q108*('Jerarq. Riesgos Plazo'!$M$67+1)</f>
        <v>2.7549586697449202</v>
      </c>
      <c r="S108" s="34">
        <f>+T108*(-'Jerarq. Riesgos Costos'!$P$76+1)</f>
        <v>2019600</v>
      </c>
      <c r="T108" s="203">
        <f t="shared" si="24"/>
        <v>2244000</v>
      </c>
      <c r="U108" s="34">
        <f>+T108*('Jerarq. Riesgos Costos'!$Q$76+1)</f>
        <v>2838576.0198142859</v>
      </c>
      <c r="V108" s="29"/>
      <c r="W108" s="4">
        <v>2</v>
      </c>
      <c r="X108" s="256">
        <f>+W108*('Jerarq. Riesgos Plazo'!$M$65/100+1)</f>
        <v>2.0023907379964414</v>
      </c>
      <c r="Y108" s="29"/>
      <c r="Z108" s="4"/>
      <c r="AA108" s="30"/>
      <c r="AB108" s="29"/>
      <c r="AC108" s="4">
        <v>2</v>
      </c>
      <c r="AD108" s="256">
        <f>+AC108*('Jerarq. Riesgos Plazo'!$M$65/100+1)</f>
        <v>2.0023907379964414</v>
      </c>
      <c r="AE108" s="29"/>
      <c r="AF108" s="4"/>
      <c r="AG108" s="30"/>
    </row>
    <row r="109" spans="2:33" ht="18" hidden="1" x14ac:dyDescent="0.25">
      <c r="B109" s="335" t="s">
        <v>499</v>
      </c>
      <c r="C109" s="115" t="s">
        <v>749</v>
      </c>
      <c r="D109" s="112" t="s">
        <v>516</v>
      </c>
      <c r="E109" s="113" t="s">
        <v>472</v>
      </c>
      <c r="F109" s="113">
        <v>20</v>
      </c>
      <c r="G109" s="265">
        <v>1</v>
      </c>
      <c r="H109" s="114">
        <v>67500</v>
      </c>
      <c r="I109" s="325">
        <f t="shared" si="23"/>
        <v>1350000</v>
      </c>
      <c r="J109" s="29"/>
      <c r="K109" s="4">
        <v>1</v>
      </c>
      <c r="L109" s="294">
        <f>+K109*('Jerarq. Riesgos Plazo'!$M$65+1)</f>
        <v>1.1195368998220752</v>
      </c>
      <c r="M109" s="64">
        <f>+N109*(-'Jerarq. Riesgos Costos'!$J$71+1)</f>
        <v>1215000</v>
      </c>
      <c r="N109" s="203">
        <f t="shared" si="25"/>
        <v>1350000</v>
      </c>
      <c r="O109" s="49">
        <f>+N109*('Jerarq. Riesgos Costos'!$K$78+1)</f>
        <v>1685799.8692902501</v>
      </c>
      <c r="P109" s="29"/>
      <c r="Q109" s="4">
        <f t="shared" si="22"/>
        <v>1</v>
      </c>
      <c r="R109" s="263">
        <f>+Q109*('Jerarq. Riesgos Plazo'!$M$67+1)</f>
        <v>1.3774793348724601</v>
      </c>
      <c r="S109" s="34">
        <f>+T109*(-'Jerarq. Riesgos Costos'!$P$76+1)</f>
        <v>1215000</v>
      </c>
      <c r="T109" s="203">
        <f t="shared" si="24"/>
        <v>1350000</v>
      </c>
      <c r="U109" s="34">
        <f>+T109*('Jerarq. Riesgos Costos'!$Q$76+1)</f>
        <v>1707699.4771610009</v>
      </c>
      <c r="V109" s="29"/>
      <c r="W109" s="4">
        <v>1</v>
      </c>
      <c r="X109" s="256">
        <f>+W109*('Jerarq. Riesgos Plazo'!$M$65/100+1)</f>
        <v>1.0011953689982207</v>
      </c>
      <c r="Y109" s="29"/>
      <c r="Z109" s="4"/>
      <c r="AA109" s="30"/>
      <c r="AB109" s="29"/>
      <c r="AC109" s="4">
        <v>1</v>
      </c>
      <c r="AD109" s="256">
        <f>+AC109*('Jerarq. Riesgos Plazo'!$M$65/100+1)</f>
        <v>1.0011953689982207</v>
      </c>
      <c r="AE109" s="29"/>
      <c r="AF109" s="4"/>
      <c r="AG109" s="30"/>
    </row>
    <row r="110" spans="2:33" ht="18" x14ac:dyDescent="0.25">
      <c r="B110" s="337" t="s">
        <v>799</v>
      </c>
      <c r="C110" s="251" t="s">
        <v>464</v>
      </c>
      <c r="D110" s="252" t="s">
        <v>806</v>
      </c>
      <c r="E110" s="253"/>
      <c r="F110" s="254"/>
      <c r="G110" s="261">
        <f>+SUM(G111:G144)</f>
        <v>18.200000000000006</v>
      </c>
      <c r="H110" s="255"/>
      <c r="I110" s="262">
        <f>+SUM(I111:I146)</f>
        <v>97219050</v>
      </c>
      <c r="J110" s="260">
        <v>17</v>
      </c>
      <c r="K110" s="261">
        <f>+SUM(K111:K146)</f>
        <v>20.300000000000008</v>
      </c>
      <c r="L110" s="256">
        <f>+SUM(L111:L146)</f>
        <v>22.726599066388136</v>
      </c>
      <c r="M110" s="260">
        <f>+SUM(M111:M146)</f>
        <v>87497145</v>
      </c>
      <c r="N110" s="261">
        <f>+SUM(N111:N146)</f>
        <v>97219050</v>
      </c>
      <c r="O110" s="262">
        <f>+SUM(O111:O146)</f>
        <v>121401379.09816468</v>
      </c>
      <c r="P110" s="260">
        <v>17</v>
      </c>
      <c r="Q110" s="261">
        <f t="shared" si="22"/>
        <v>20.300000000000008</v>
      </c>
      <c r="R110" s="262">
        <f>+Q110*('Jerarq. Riesgos Plazo'!$M$67+1)</f>
        <v>27.96283049791095</v>
      </c>
      <c r="S110" s="260">
        <f>+SUM(S111:S146)</f>
        <v>87497145</v>
      </c>
      <c r="T110" s="261">
        <f>+SUM(T111:T146)</f>
        <v>97219050</v>
      </c>
      <c r="U110" s="262">
        <f>+SUM(U111:U146)</f>
        <v>122978459.89265865</v>
      </c>
      <c r="V110" s="260">
        <v>17</v>
      </c>
      <c r="W110" s="261">
        <f>+SUM(W111:W144)</f>
        <v>18.200000000000006</v>
      </c>
      <c r="X110" s="256">
        <f>+W110*('Jerarq. Riesgos Plazo'!$M$65/100+1)</f>
        <v>18.221755715767625</v>
      </c>
      <c r="Y110" s="260"/>
      <c r="Z110" s="261"/>
      <c r="AA110" s="262"/>
      <c r="AB110" s="260">
        <v>17</v>
      </c>
      <c r="AC110" s="261">
        <f>+SUM(AC111:AC144)</f>
        <v>18.200000000000006</v>
      </c>
      <c r="AD110" s="256">
        <f>+AC110*('Jerarq. Riesgos Plazo'!$M$65/100+1)</f>
        <v>18.221755715767625</v>
      </c>
      <c r="AE110" s="260"/>
      <c r="AF110" s="261"/>
      <c r="AG110" s="262"/>
    </row>
    <row r="111" spans="2:33" ht="18" hidden="1" x14ac:dyDescent="0.25">
      <c r="B111" s="335" t="s">
        <v>518</v>
      </c>
      <c r="C111" s="115" t="s">
        <v>750</v>
      </c>
      <c r="D111" s="112" t="s">
        <v>519</v>
      </c>
      <c r="E111" s="113" t="s">
        <v>453</v>
      </c>
      <c r="F111" s="113">
        <v>3</v>
      </c>
      <c r="G111" s="265">
        <v>0.3</v>
      </c>
      <c r="H111" s="114">
        <v>1600000</v>
      </c>
      <c r="I111" s="325">
        <f t="shared" ref="I111:I148" si="26">+F111*H111</f>
        <v>4800000</v>
      </c>
      <c r="J111" s="29"/>
      <c r="K111" s="4">
        <v>0.3</v>
      </c>
      <c r="L111" s="294">
        <f>+K111*('Jerarq. Riesgos Plazo'!$M$65+1)</f>
        <v>0.33586106994662251</v>
      </c>
      <c r="M111" s="64">
        <f>+N111*(-'Jerarq. Riesgos Costos'!$J$71+1)</f>
        <v>4320000</v>
      </c>
      <c r="N111" s="203">
        <f t="shared" ref="N111:N146" si="27">+I111</f>
        <v>4800000</v>
      </c>
      <c r="O111" s="49">
        <f>+N111*('Jerarq. Riesgos Costos'!$K$78+1)</f>
        <v>5993955.0908097783</v>
      </c>
      <c r="P111" s="29"/>
      <c r="Q111" s="4">
        <f t="shared" si="22"/>
        <v>0.3</v>
      </c>
      <c r="R111" s="263">
        <f>+Q111*('Jerarq. Riesgos Plazo'!$M$67+1)</f>
        <v>0.41324380046173803</v>
      </c>
      <c r="S111" s="34">
        <f>+T111*(-'Jerarq. Riesgos Costos'!$P$76+1)</f>
        <v>4320000</v>
      </c>
      <c r="T111" s="203">
        <f t="shared" si="24"/>
        <v>4800000</v>
      </c>
      <c r="U111" s="34">
        <f>+T111*('Jerarq. Riesgos Costos'!$Q$76+1)</f>
        <v>6071820.3632391142</v>
      </c>
      <c r="V111" s="29"/>
      <c r="W111" s="4">
        <v>0.3</v>
      </c>
      <c r="X111" s="256">
        <f>+W111*('Jerarq. Riesgos Plazo'!$M$65/100+1)</f>
        <v>0.30035861069946618</v>
      </c>
      <c r="Y111" s="29"/>
      <c r="Z111" s="4"/>
      <c r="AA111" s="30"/>
      <c r="AB111" s="29"/>
      <c r="AC111" s="4">
        <v>0.3</v>
      </c>
      <c r="AD111" s="256">
        <f>+AC111*('Jerarq. Riesgos Plazo'!$M$65/100+1)</f>
        <v>0.30035861069946618</v>
      </c>
      <c r="AE111" s="29"/>
      <c r="AF111" s="4"/>
      <c r="AG111" s="30"/>
    </row>
    <row r="112" spans="2:33" ht="18" hidden="1" x14ac:dyDescent="0.25">
      <c r="B112" s="335" t="s">
        <v>518</v>
      </c>
      <c r="C112" s="115" t="s">
        <v>751</v>
      </c>
      <c r="D112" s="112" t="s">
        <v>520</v>
      </c>
      <c r="E112" s="113" t="s">
        <v>453</v>
      </c>
      <c r="F112" s="113">
        <v>3</v>
      </c>
      <c r="G112" s="265">
        <v>0.4</v>
      </c>
      <c r="H112" s="114">
        <v>2500000</v>
      </c>
      <c r="I112" s="325">
        <f t="shared" si="26"/>
        <v>7500000</v>
      </c>
      <c r="J112" s="29"/>
      <c r="K112" s="4">
        <v>0.4</v>
      </c>
      <c r="L112" s="294">
        <f>+K112*('Jerarq. Riesgos Plazo'!$M$65+1)</f>
        <v>0.44781475992883008</v>
      </c>
      <c r="M112" s="64">
        <f>+N112*(-'Jerarq. Riesgos Costos'!$J$71+1)</f>
        <v>6750000</v>
      </c>
      <c r="N112" s="203">
        <f t="shared" si="27"/>
        <v>7500000</v>
      </c>
      <c r="O112" s="49">
        <f>+N112*('Jerarq. Riesgos Costos'!$K$78+1)</f>
        <v>9365554.8293902799</v>
      </c>
      <c r="P112" s="29"/>
      <c r="Q112" s="4">
        <f t="shared" si="22"/>
        <v>0.4</v>
      </c>
      <c r="R112" s="263">
        <f>+Q112*('Jerarq. Riesgos Plazo'!$M$67+1)</f>
        <v>0.55099173394898404</v>
      </c>
      <c r="S112" s="34">
        <f>+T112*(-'Jerarq. Riesgos Costos'!$P$76+1)</f>
        <v>6750000</v>
      </c>
      <c r="T112" s="203">
        <f t="shared" si="24"/>
        <v>7500000</v>
      </c>
      <c r="U112" s="34">
        <f>+T112*('Jerarq. Riesgos Costos'!$Q$76+1)</f>
        <v>9487219.3175611161</v>
      </c>
      <c r="V112" s="29"/>
      <c r="W112" s="4">
        <v>0.4</v>
      </c>
      <c r="X112" s="256">
        <f>+W112*('Jerarq. Riesgos Plazo'!$M$65/100+1)</f>
        <v>0.40047814759928829</v>
      </c>
      <c r="Y112" s="29"/>
      <c r="Z112" s="4"/>
      <c r="AA112" s="30"/>
      <c r="AB112" s="29"/>
      <c r="AC112" s="4">
        <v>0.4</v>
      </c>
      <c r="AD112" s="256">
        <f>+AC112*('Jerarq. Riesgos Plazo'!$M$65/100+1)</f>
        <v>0.40047814759928829</v>
      </c>
      <c r="AE112" s="29"/>
      <c r="AF112" s="4"/>
      <c r="AG112" s="30"/>
    </row>
    <row r="113" spans="2:33" ht="18" hidden="1" x14ac:dyDescent="0.25">
      <c r="B113" s="335" t="s">
        <v>518</v>
      </c>
      <c r="C113" s="115" t="s">
        <v>752</v>
      </c>
      <c r="D113" s="112" t="s">
        <v>521</v>
      </c>
      <c r="E113" s="113" t="s">
        <v>453</v>
      </c>
      <c r="F113" s="113">
        <v>2</v>
      </c>
      <c r="G113" s="265">
        <v>0.2</v>
      </c>
      <c r="H113" s="114">
        <v>1500000</v>
      </c>
      <c r="I113" s="325">
        <f t="shared" si="26"/>
        <v>3000000</v>
      </c>
      <c r="J113" s="29"/>
      <c r="K113" s="4">
        <v>0.2</v>
      </c>
      <c r="L113" s="294">
        <f>+K113*('Jerarq. Riesgos Plazo'!$M$65+1)</f>
        <v>0.22390737996441504</v>
      </c>
      <c r="M113" s="64">
        <f>+N113*(-'Jerarq. Riesgos Costos'!$J$71+1)</f>
        <v>2700000</v>
      </c>
      <c r="N113" s="203">
        <f t="shared" si="27"/>
        <v>3000000</v>
      </c>
      <c r="O113" s="49">
        <f>+N113*('Jerarq. Riesgos Costos'!$K$78+1)</f>
        <v>3746221.9317561118</v>
      </c>
      <c r="P113" s="29"/>
      <c r="Q113" s="4">
        <f t="shared" si="22"/>
        <v>0.2</v>
      </c>
      <c r="R113" s="263">
        <f>+Q113*('Jerarq. Riesgos Plazo'!$M$67+1)</f>
        <v>0.27549586697449202</v>
      </c>
      <c r="S113" s="34">
        <f>+T113*(-'Jerarq. Riesgos Costos'!$P$76+1)</f>
        <v>2700000</v>
      </c>
      <c r="T113" s="203">
        <f t="shared" si="24"/>
        <v>3000000</v>
      </c>
      <c r="U113" s="34">
        <f>+T113*('Jerarq. Riesgos Costos'!$Q$76+1)</f>
        <v>3794887.7270244467</v>
      </c>
      <c r="V113" s="29"/>
      <c r="W113" s="4">
        <v>0.2</v>
      </c>
      <c r="X113" s="256">
        <f>+W113*('Jerarq. Riesgos Plazo'!$M$65/100+1)</f>
        <v>0.20023907379964415</v>
      </c>
      <c r="Y113" s="29"/>
      <c r="Z113" s="4"/>
      <c r="AA113" s="30"/>
      <c r="AB113" s="29"/>
      <c r="AC113" s="4">
        <v>0.2</v>
      </c>
      <c r="AD113" s="256">
        <f>+AC113*('Jerarq. Riesgos Plazo'!$M$65/100+1)</f>
        <v>0.20023907379964415</v>
      </c>
      <c r="AE113" s="29"/>
      <c r="AF113" s="4"/>
      <c r="AG113" s="30"/>
    </row>
    <row r="114" spans="2:33" ht="18" hidden="1" x14ac:dyDescent="0.25">
      <c r="B114" s="335" t="s">
        <v>518</v>
      </c>
      <c r="C114" s="115" t="s">
        <v>753</v>
      </c>
      <c r="D114" s="112" t="s">
        <v>522</v>
      </c>
      <c r="E114" s="113" t="s">
        <v>453</v>
      </c>
      <c r="F114" s="113">
        <v>1</v>
      </c>
      <c r="G114" s="265">
        <v>0.2</v>
      </c>
      <c r="H114" s="114">
        <v>7000000</v>
      </c>
      <c r="I114" s="325">
        <f t="shared" si="26"/>
        <v>7000000</v>
      </c>
      <c r="J114" s="29"/>
      <c r="K114" s="4">
        <v>0.2</v>
      </c>
      <c r="L114" s="294">
        <f>+K114*('Jerarq. Riesgos Plazo'!$M$65+1)</f>
        <v>0.22390737996441504</v>
      </c>
      <c r="M114" s="64">
        <f>+N114*(-'Jerarq. Riesgos Costos'!$J$71+1)</f>
        <v>6300000</v>
      </c>
      <c r="N114" s="203">
        <f t="shared" si="27"/>
        <v>7000000</v>
      </c>
      <c r="O114" s="49">
        <f>+N114*('Jerarq. Riesgos Costos'!$K$78+1)</f>
        <v>8741184.5074309278</v>
      </c>
      <c r="P114" s="29"/>
      <c r="Q114" s="4">
        <f t="shared" si="22"/>
        <v>0.2</v>
      </c>
      <c r="R114" s="263">
        <f>+Q114*('Jerarq. Riesgos Plazo'!$M$67+1)</f>
        <v>0.27549586697449202</v>
      </c>
      <c r="S114" s="34">
        <f>+T114*(-'Jerarq. Riesgos Costos'!$P$76+1)</f>
        <v>6300000</v>
      </c>
      <c r="T114" s="203">
        <f t="shared" si="24"/>
        <v>7000000</v>
      </c>
      <c r="U114" s="34">
        <f>+T114*('Jerarq. Riesgos Costos'!$Q$76+1)</f>
        <v>8854738.0297237094</v>
      </c>
      <c r="V114" s="29"/>
      <c r="W114" s="4">
        <v>0.2</v>
      </c>
      <c r="X114" s="256">
        <f>+W114*('Jerarq. Riesgos Plazo'!$M$65/100+1)</f>
        <v>0.20023907379964415</v>
      </c>
      <c r="Y114" s="29"/>
      <c r="Z114" s="4"/>
      <c r="AA114" s="30"/>
      <c r="AB114" s="29"/>
      <c r="AC114" s="4">
        <v>0.2</v>
      </c>
      <c r="AD114" s="256">
        <f>+AC114*('Jerarq. Riesgos Plazo'!$M$65/100+1)</f>
        <v>0.20023907379964415</v>
      </c>
      <c r="AE114" s="29"/>
      <c r="AF114" s="4"/>
      <c r="AG114" s="30"/>
    </row>
    <row r="115" spans="2:33" ht="18" hidden="1" x14ac:dyDescent="0.25">
      <c r="B115" s="335" t="s">
        <v>518</v>
      </c>
      <c r="C115" s="115" t="s">
        <v>754</v>
      </c>
      <c r="D115" s="112" t="s">
        <v>523</v>
      </c>
      <c r="E115" s="113" t="s">
        <v>453</v>
      </c>
      <c r="F115" s="113">
        <v>2</v>
      </c>
      <c r="G115" s="265">
        <v>0.3</v>
      </c>
      <c r="H115" s="114">
        <v>1800000</v>
      </c>
      <c r="I115" s="325">
        <f t="shared" si="26"/>
        <v>3600000</v>
      </c>
      <c r="J115" s="29"/>
      <c r="K115" s="4">
        <v>0.3</v>
      </c>
      <c r="L115" s="294">
        <f>+K115*('Jerarq. Riesgos Plazo'!$M$65+1)</f>
        <v>0.33586106994662251</v>
      </c>
      <c r="M115" s="64">
        <f>+N115*(-'Jerarq. Riesgos Costos'!$J$71+1)</f>
        <v>3240000</v>
      </c>
      <c r="N115" s="203">
        <f t="shared" si="27"/>
        <v>3600000</v>
      </c>
      <c r="O115" s="49">
        <f>+N115*('Jerarq. Riesgos Costos'!$K$78+1)</f>
        <v>4495466.318107334</v>
      </c>
      <c r="P115" s="29"/>
      <c r="Q115" s="4">
        <f t="shared" si="22"/>
        <v>0.3</v>
      </c>
      <c r="R115" s="263">
        <f>+Q115*('Jerarq. Riesgos Plazo'!$M$67+1)</f>
        <v>0.41324380046173803</v>
      </c>
      <c r="S115" s="34">
        <f>+T115*(-'Jerarq. Riesgos Costos'!$P$76+1)</f>
        <v>3240000</v>
      </c>
      <c r="T115" s="203">
        <f t="shared" si="24"/>
        <v>3600000</v>
      </c>
      <c r="U115" s="34">
        <f>+T115*('Jerarq. Riesgos Costos'!$Q$76+1)</f>
        <v>4553865.2724293359</v>
      </c>
      <c r="V115" s="29"/>
      <c r="W115" s="4">
        <v>0.3</v>
      </c>
      <c r="X115" s="256">
        <f>+W115*('Jerarq. Riesgos Plazo'!$M$65/100+1)</f>
        <v>0.30035861069946618</v>
      </c>
      <c r="Y115" s="29"/>
      <c r="Z115" s="4"/>
      <c r="AA115" s="30"/>
      <c r="AB115" s="29"/>
      <c r="AC115" s="4">
        <v>0.3</v>
      </c>
      <c r="AD115" s="256">
        <f>+AC115*('Jerarq. Riesgos Plazo'!$M$65/100+1)</f>
        <v>0.30035861069946618</v>
      </c>
      <c r="AE115" s="29"/>
      <c r="AF115" s="4"/>
      <c r="AG115" s="30"/>
    </row>
    <row r="116" spans="2:33" ht="18" hidden="1" x14ac:dyDescent="0.25">
      <c r="B116" s="335" t="s">
        <v>518</v>
      </c>
      <c r="C116" s="115" t="s">
        <v>755</v>
      </c>
      <c r="D116" s="112" t="s">
        <v>524</v>
      </c>
      <c r="E116" s="113" t="s">
        <v>453</v>
      </c>
      <c r="F116" s="113">
        <v>2</v>
      </c>
      <c r="G116" s="265">
        <v>0.3</v>
      </c>
      <c r="H116" s="114">
        <v>250000</v>
      </c>
      <c r="I116" s="325">
        <f t="shared" si="26"/>
        <v>500000</v>
      </c>
      <c r="J116" s="29"/>
      <c r="K116" s="4">
        <v>0.3</v>
      </c>
      <c r="L116" s="294">
        <f>+K116*('Jerarq. Riesgos Plazo'!$M$65+1)</f>
        <v>0.33586106994662251</v>
      </c>
      <c r="M116" s="64">
        <f>+N116*(-'Jerarq. Riesgos Costos'!$J$71+1)</f>
        <v>450000</v>
      </c>
      <c r="N116" s="203">
        <f t="shared" si="27"/>
        <v>500000</v>
      </c>
      <c r="O116" s="49">
        <f>+N116*('Jerarq. Riesgos Costos'!$K$78+1)</f>
        <v>624370.32195935189</v>
      </c>
      <c r="P116" s="29"/>
      <c r="Q116" s="4">
        <f t="shared" si="22"/>
        <v>0.3</v>
      </c>
      <c r="R116" s="263">
        <f>+Q116*('Jerarq. Riesgos Plazo'!$M$67+1)</f>
        <v>0.41324380046173803</v>
      </c>
      <c r="S116" s="34">
        <f>+T116*(-'Jerarq. Riesgos Costos'!$P$76+1)</f>
        <v>450000</v>
      </c>
      <c r="T116" s="203">
        <f t="shared" si="24"/>
        <v>500000</v>
      </c>
      <c r="U116" s="34">
        <f>+T116*('Jerarq. Riesgos Costos'!$Q$76+1)</f>
        <v>632481.28783740778</v>
      </c>
      <c r="V116" s="29"/>
      <c r="W116" s="4">
        <v>0.3</v>
      </c>
      <c r="X116" s="256">
        <f>+W116*('Jerarq. Riesgos Plazo'!$M$65/100+1)</f>
        <v>0.30035861069946618</v>
      </c>
      <c r="Y116" s="29"/>
      <c r="Z116" s="4"/>
      <c r="AA116" s="30"/>
      <c r="AB116" s="29"/>
      <c r="AC116" s="4">
        <v>0.3</v>
      </c>
      <c r="AD116" s="256">
        <f>+AC116*('Jerarq. Riesgos Plazo'!$M$65/100+1)</f>
        <v>0.30035861069946618</v>
      </c>
      <c r="AE116" s="29"/>
      <c r="AF116" s="4"/>
      <c r="AG116" s="30"/>
    </row>
    <row r="117" spans="2:33" ht="18" hidden="1" x14ac:dyDescent="0.25">
      <c r="B117" s="335" t="s">
        <v>518</v>
      </c>
      <c r="C117" s="115" t="s">
        <v>756</v>
      </c>
      <c r="D117" s="112" t="s">
        <v>525</v>
      </c>
      <c r="E117" s="113" t="s">
        <v>453</v>
      </c>
      <c r="F117" s="113">
        <v>2</v>
      </c>
      <c r="G117" s="265">
        <v>0.5</v>
      </c>
      <c r="H117" s="114">
        <v>275000</v>
      </c>
      <c r="I117" s="325">
        <f t="shared" si="26"/>
        <v>550000</v>
      </c>
      <c r="J117" s="29"/>
      <c r="K117" s="4">
        <v>0.5</v>
      </c>
      <c r="L117" s="294">
        <f>+K117*('Jerarq. Riesgos Plazo'!$M$65+1)</f>
        <v>0.55976844991103758</v>
      </c>
      <c r="M117" s="64">
        <f>+N117*(-'Jerarq. Riesgos Costos'!$J$71+1)</f>
        <v>495000</v>
      </c>
      <c r="N117" s="203">
        <f t="shared" si="27"/>
        <v>550000</v>
      </c>
      <c r="O117" s="49">
        <f>+N117*('Jerarq. Riesgos Costos'!$K$78+1)</f>
        <v>686807.35415528715</v>
      </c>
      <c r="P117" s="29"/>
      <c r="Q117" s="4">
        <f t="shared" si="22"/>
        <v>0.5</v>
      </c>
      <c r="R117" s="263">
        <f>+Q117*('Jerarq. Riesgos Plazo'!$M$67+1)</f>
        <v>0.68873966743623005</v>
      </c>
      <c r="S117" s="34">
        <f>+T117*(-'Jerarq. Riesgos Costos'!$P$76+1)</f>
        <v>495000</v>
      </c>
      <c r="T117" s="203">
        <f t="shared" si="24"/>
        <v>550000</v>
      </c>
      <c r="U117" s="34">
        <f>+T117*('Jerarq. Riesgos Costos'!$Q$76+1)</f>
        <v>695729.41662114859</v>
      </c>
      <c r="V117" s="29"/>
      <c r="W117" s="4">
        <v>0.5</v>
      </c>
      <c r="X117" s="256">
        <f>+W117*('Jerarq. Riesgos Plazo'!$M$65/100+1)</f>
        <v>0.50059768449911035</v>
      </c>
      <c r="Y117" s="29"/>
      <c r="Z117" s="4"/>
      <c r="AA117" s="30"/>
      <c r="AB117" s="29"/>
      <c r="AC117" s="4">
        <v>0.5</v>
      </c>
      <c r="AD117" s="256">
        <f>+AC117*('Jerarq. Riesgos Plazo'!$M$65/100+1)</f>
        <v>0.50059768449911035</v>
      </c>
      <c r="AE117" s="29"/>
      <c r="AF117" s="4"/>
      <c r="AG117" s="30"/>
    </row>
    <row r="118" spans="2:33" ht="18" hidden="1" x14ac:dyDescent="0.25">
      <c r="B118" s="335" t="s">
        <v>518</v>
      </c>
      <c r="C118" s="115" t="s">
        <v>757</v>
      </c>
      <c r="D118" s="112" t="s">
        <v>526</v>
      </c>
      <c r="E118" s="113" t="s">
        <v>453</v>
      </c>
      <c r="F118" s="113">
        <v>1</v>
      </c>
      <c r="G118" s="265">
        <v>0.2</v>
      </c>
      <c r="H118" s="114">
        <v>210000</v>
      </c>
      <c r="I118" s="325">
        <f t="shared" si="26"/>
        <v>210000</v>
      </c>
      <c r="J118" s="29"/>
      <c r="K118" s="4">
        <v>0.2</v>
      </c>
      <c r="L118" s="294">
        <f>+K118*('Jerarq. Riesgos Plazo'!$M$65+1)</f>
        <v>0.22390737996441504</v>
      </c>
      <c r="M118" s="64">
        <f>+N118*(-'Jerarq. Riesgos Costos'!$J$71+1)</f>
        <v>189000</v>
      </c>
      <c r="N118" s="203">
        <f t="shared" si="27"/>
        <v>210000</v>
      </c>
      <c r="O118" s="49">
        <f>+N118*('Jerarq. Riesgos Costos'!$K$78+1)</f>
        <v>262235.53522292781</v>
      </c>
      <c r="P118" s="29"/>
      <c r="Q118" s="4">
        <f t="shared" si="22"/>
        <v>0.2</v>
      </c>
      <c r="R118" s="263">
        <f>+Q118*('Jerarq. Riesgos Plazo'!$M$67+1)</f>
        <v>0.27549586697449202</v>
      </c>
      <c r="S118" s="34">
        <f>+T118*(-'Jerarq. Riesgos Costos'!$P$76+1)</f>
        <v>189000</v>
      </c>
      <c r="T118" s="203">
        <f t="shared" si="24"/>
        <v>210000</v>
      </c>
      <c r="U118" s="34">
        <f>+T118*('Jerarq. Riesgos Costos'!$Q$76+1)</f>
        <v>265642.14089171129</v>
      </c>
      <c r="V118" s="29"/>
      <c r="W118" s="4">
        <v>0.2</v>
      </c>
      <c r="X118" s="256">
        <f>+W118*('Jerarq. Riesgos Plazo'!$M$65/100+1)</f>
        <v>0.20023907379964415</v>
      </c>
      <c r="Y118" s="29"/>
      <c r="Z118" s="4"/>
      <c r="AA118" s="30"/>
      <c r="AB118" s="29"/>
      <c r="AC118" s="4">
        <v>0.2</v>
      </c>
      <c r="AD118" s="256">
        <f>+AC118*('Jerarq. Riesgos Plazo'!$M$65/100+1)</f>
        <v>0.20023907379964415</v>
      </c>
      <c r="AE118" s="29"/>
      <c r="AF118" s="4"/>
      <c r="AG118" s="30"/>
    </row>
    <row r="119" spans="2:33" ht="18" hidden="1" x14ac:dyDescent="0.25">
      <c r="B119" s="335" t="s">
        <v>518</v>
      </c>
      <c r="C119" s="115" t="s">
        <v>758</v>
      </c>
      <c r="D119" s="112" t="s">
        <v>527</v>
      </c>
      <c r="E119" s="113" t="s">
        <v>453</v>
      </c>
      <c r="F119" s="113">
        <v>1</v>
      </c>
      <c r="G119" s="265">
        <v>0.3</v>
      </c>
      <c r="H119" s="114">
        <v>250000</v>
      </c>
      <c r="I119" s="325">
        <f t="shared" si="26"/>
        <v>250000</v>
      </c>
      <c r="J119" s="29"/>
      <c r="K119" s="4">
        <v>0.3</v>
      </c>
      <c r="L119" s="294">
        <f>+K119*('Jerarq. Riesgos Plazo'!$M$65+1)</f>
        <v>0.33586106994662251</v>
      </c>
      <c r="M119" s="64">
        <f>+N119*(-'Jerarq. Riesgos Costos'!$J$71+1)</f>
        <v>225000</v>
      </c>
      <c r="N119" s="203">
        <f t="shared" si="27"/>
        <v>250000</v>
      </c>
      <c r="O119" s="49">
        <f>+N119*('Jerarq. Riesgos Costos'!$K$78+1)</f>
        <v>312185.16097967594</v>
      </c>
      <c r="P119" s="29"/>
      <c r="Q119" s="4">
        <f t="shared" si="22"/>
        <v>0.3</v>
      </c>
      <c r="R119" s="263">
        <f>+Q119*('Jerarq. Riesgos Plazo'!$M$67+1)</f>
        <v>0.41324380046173803</v>
      </c>
      <c r="S119" s="34">
        <f>+T119*(-'Jerarq. Riesgos Costos'!$P$76+1)</f>
        <v>225000</v>
      </c>
      <c r="T119" s="203">
        <f t="shared" si="24"/>
        <v>250000</v>
      </c>
      <c r="U119" s="34">
        <f>+T119*('Jerarq. Riesgos Costos'!$Q$76+1)</f>
        <v>316240.64391870389</v>
      </c>
      <c r="V119" s="29"/>
      <c r="W119" s="4">
        <v>0.3</v>
      </c>
      <c r="X119" s="256">
        <f>+W119*('Jerarq. Riesgos Plazo'!$M$65/100+1)</f>
        <v>0.30035861069946618</v>
      </c>
      <c r="Y119" s="29"/>
      <c r="Z119" s="4"/>
      <c r="AA119" s="30"/>
      <c r="AB119" s="29"/>
      <c r="AC119" s="4">
        <v>0.3</v>
      </c>
      <c r="AD119" s="256">
        <f>+AC119*('Jerarq. Riesgos Plazo'!$M$65/100+1)</f>
        <v>0.30035861069946618</v>
      </c>
      <c r="AE119" s="29"/>
      <c r="AF119" s="4"/>
      <c r="AG119" s="30"/>
    </row>
    <row r="120" spans="2:33" ht="18" hidden="1" x14ac:dyDescent="0.25">
      <c r="B120" s="335" t="s">
        <v>518</v>
      </c>
      <c r="C120" s="115" t="s">
        <v>759</v>
      </c>
      <c r="D120" s="112" t="s">
        <v>528</v>
      </c>
      <c r="E120" s="113" t="s">
        <v>472</v>
      </c>
      <c r="F120" s="113">
        <v>276</v>
      </c>
      <c r="G120" s="265">
        <v>1.5</v>
      </c>
      <c r="H120" s="114">
        <v>20000</v>
      </c>
      <c r="I120" s="325">
        <f t="shared" si="26"/>
        <v>5520000</v>
      </c>
      <c r="J120" s="29"/>
      <c r="K120" s="4">
        <v>1.5</v>
      </c>
      <c r="L120" s="294">
        <f>+K120*('Jerarq. Riesgos Plazo'!$M$65+1)</f>
        <v>1.6793053497331127</v>
      </c>
      <c r="M120" s="64">
        <f>+N120*(-'Jerarq. Riesgos Costos'!$J$71+1)</f>
        <v>4968000</v>
      </c>
      <c r="N120" s="203">
        <f t="shared" si="27"/>
        <v>5520000</v>
      </c>
      <c r="O120" s="49">
        <f>+N120*('Jerarq. Riesgos Costos'!$K$78+1)</f>
        <v>6893048.3544312455</v>
      </c>
      <c r="P120" s="29"/>
      <c r="Q120" s="4">
        <f t="shared" si="22"/>
        <v>1.5</v>
      </c>
      <c r="R120" s="263">
        <f>+Q120*('Jerarq. Riesgos Plazo'!$M$67+1)</f>
        <v>2.0662190023086904</v>
      </c>
      <c r="S120" s="34">
        <f>+T120*(-'Jerarq. Riesgos Costos'!$P$76+1)</f>
        <v>4968000</v>
      </c>
      <c r="T120" s="203">
        <f t="shared" si="24"/>
        <v>5520000</v>
      </c>
      <c r="U120" s="34">
        <f>+T120*('Jerarq. Riesgos Costos'!$Q$76+1)</f>
        <v>6982593.4177249819</v>
      </c>
      <c r="V120" s="29"/>
      <c r="W120" s="4">
        <v>1.5</v>
      </c>
      <c r="X120" s="256">
        <f>+W120*('Jerarq. Riesgos Plazo'!$M$65/100+1)</f>
        <v>1.5017930534973312</v>
      </c>
      <c r="Y120" s="29"/>
      <c r="Z120" s="4"/>
      <c r="AA120" s="30"/>
      <c r="AB120" s="29"/>
      <c r="AC120" s="4">
        <v>1.5</v>
      </c>
      <c r="AD120" s="256">
        <f>+AC120*('Jerarq. Riesgos Plazo'!$M$65/100+1)</f>
        <v>1.5017930534973312</v>
      </c>
      <c r="AE120" s="29"/>
      <c r="AF120" s="4"/>
      <c r="AG120" s="30"/>
    </row>
    <row r="121" spans="2:33" ht="18" hidden="1" x14ac:dyDescent="0.25">
      <c r="B121" s="335" t="s">
        <v>518</v>
      </c>
      <c r="C121" s="115" t="s">
        <v>760</v>
      </c>
      <c r="D121" s="112" t="s">
        <v>529</v>
      </c>
      <c r="E121" s="113" t="s">
        <v>472</v>
      </c>
      <c r="F121" s="113">
        <v>25</v>
      </c>
      <c r="G121" s="265">
        <v>0.3</v>
      </c>
      <c r="H121" s="114">
        <v>30000</v>
      </c>
      <c r="I121" s="325">
        <f t="shared" si="26"/>
        <v>750000</v>
      </c>
      <c r="J121" s="29"/>
      <c r="K121" s="4">
        <v>0.3</v>
      </c>
      <c r="L121" s="294">
        <f>+K121*('Jerarq. Riesgos Plazo'!$M$65+1)</f>
        <v>0.33586106994662251</v>
      </c>
      <c r="M121" s="64">
        <f>+N121*(-'Jerarq. Riesgos Costos'!$J$71+1)</f>
        <v>675000</v>
      </c>
      <c r="N121" s="203">
        <f t="shared" si="27"/>
        <v>750000</v>
      </c>
      <c r="O121" s="49">
        <f>+N121*('Jerarq. Riesgos Costos'!$K$78+1)</f>
        <v>936555.48293902795</v>
      </c>
      <c r="P121" s="29"/>
      <c r="Q121" s="4">
        <f t="shared" si="22"/>
        <v>0.3</v>
      </c>
      <c r="R121" s="263">
        <f>+Q121*('Jerarq. Riesgos Plazo'!$M$67+1)</f>
        <v>0.41324380046173803</v>
      </c>
      <c r="S121" s="34">
        <f>+T121*(-'Jerarq. Riesgos Costos'!$P$76+1)</f>
        <v>675000</v>
      </c>
      <c r="T121" s="203">
        <f t="shared" si="24"/>
        <v>750000</v>
      </c>
      <c r="U121" s="34">
        <f>+T121*('Jerarq. Riesgos Costos'!$Q$76+1)</f>
        <v>948721.93175611168</v>
      </c>
      <c r="V121" s="29"/>
      <c r="W121" s="4">
        <v>0.3</v>
      </c>
      <c r="X121" s="256">
        <f>+W121*('Jerarq. Riesgos Plazo'!$M$65/100+1)</f>
        <v>0.30035861069946618</v>
      </c>
      <c r="Y121" s="29"/>
      <c r="Z121" s="4"/>
      <c r="AA121" s="30"/>
      <c r="AB121" s="29"/>
      <c r="AC121" s="4">
        <v>0.3</v>
      </c>
      <c r="AD121" s="256">
        <f>+AC121*('Jerarq. Riesgos Plazo'!$M$65/100+1)</f>
        <v>0.30035861069946618</v>
      </c>
      <c r="AE121" s="29"/>
      <c r="AF121" s="4"/>
      <c r="AG121" s="30"/>
    </row>
    <row r="122" spans="2:33" ht="18" hidden="1" x14ac:dyDescent="0.25">
      <c r="B122" s="335" t="s">
        <v>518</v>
      </c>
      <c r="C122" s="115" t="s">
        <v>761</v>
      </c>
      <c r="D122" s="112" t="s">
        <v>530</v>
      </c>
      <c r="E122" s="113" t="s">
        <v>472</v>
      </c>
      <c r="F122" s="113">
        <v>111</v>
      </c>
      <c r="G122" s="265">
        <v>1</v>
      </c>
      <c r="H122" s="114">
        <v>25000</v>
      </c>
      <c r="I122" s="325">
        <f t="shared" si="26"/>
        <v>2775000</v>
      </c>
      <c r="J122" s="29"/>
      <c r="K122" s="4">
        <v>1</v>
      </c>
      <c r="L122" s="294">
        <f>+K122*('Jerarq. Riesgos Plazo'!$M$65+1)</f>
        <v>1.1195368998220752</v>
      </c>
      <c r="M122" s="64">
        <f>+N122*(-'Jerarq. Riesgos Costos'!$J$71+1)</f>
        <v>2497500</v>
      </c>
      <c r="N122" s="203">
        <f t="shared" si="27"/>
        <v>2775000</v>
      </c>
      <c r="O122" s="49">
        <f>+N122*('Jerarq. Riesgos Costos'!$K$78+1)</f>
        <v>3465255.2868744032</v>
      </c>
      <c r="P122" s="29"/>
      <c r="Q122" s="4">
        <f t="shared" si="22"/>
        <v>1</v>
      </c>
      <c r="R122" s="263">
        <f>+Q122*('Jerarq. Riesgos Plazo'!$M$67+1)</f>
        <v>1.3774793348724601</v>
      </c>
      <c r="S122" s="34">
        <f>+T122*(-'Jerarq. Riesgos Costos'!$P$76+1)</f>
        <v>2497500</v>
      </c>
      <c r="T122" s="203">
        <f t="shared" si="24"/>
        <v>2775000</v>
      </c>
      <c r="U122" s="34">
        <f>+T122*('Jerarq. Riesgos Costos'!$Q$76+1)</f>
        <v>3510271.147497613</v>
      </c>
      <c r="V122" s="29"/>
      <c r="W122" s="4">
        <v>1</v>
      </c>
      <c r="X122" s="256">
        <f>+W122*('Jerarq. Riesgos Plazo'!$M$65/100+1)</f>
        <v>1.0011953689982207</v>
      </c>
      <c r="Y122" s="29"/>
      <c r="Z122" s="4"/>
      <c r="AA122" s="30"/>
      <c r="AB122" s="29"/>
      <c r="AC122" s="4">
        <v>1</v>
      </c>
      <c r="AD122" s="256">
        <f>+AC122*('Jerarq. Riesgos Plazo'!$M$65/100+1)</f>
        <v>1.0011953689982207</v>
      </c>
      <c r="AE122" s="29"/>
      <c r="AF122" s="4"/>
      <c r="AG122" s="30"/>
    </row>
    <row r="123" spans="2:33" ht="18" hidden="1" x14ac:dyDescent="0.25">
      <c r="B123" s="335" t="s">
        <v>518</v>
      </c>
      <c r="C123" s="115" t="s">
        <v>762</v>
      </c>
      <c r="D123" s="112" t="s">
        <v>531</v>
      </c>
      <c r="E123" s="113" t="s">
        <v>472</v>
      </c>
      <c r="F123" s="113">
        <v>5</v>
      </c>
      <c r="G123" s="265">
        <v>0.2</v>
      </c>
      <c r="H123" s="114">
        <v>35000</v>
      </c>
      <c r="I123" s="325">
        <f t="shared" si="26"/>
        <v>175000</v>
      </c>
      <c r="J123" s="29"/>
      <c r="K123" s="4">
        <v>0.2</v>
      </c>
      <c r="L123" s="294">
        <f>+K123*('Jerarq. Riesgos Plazo'!$M$65+1)</f>
        <v>0.22390737996441504</v>
      </c>
      <c r="M123" s="64">
        <f>+N123*(-'Jerarq. Riesgos Costos'!$J$71+1)</f>
        <v>157500</v>
      </c>
      <c r="N123" s="203">
        <f t="shared" si="27"/>
        <v>175000</v>
      </c>
      <c r="O123" s="49">
        <f>+N123*('Jerarq. Riesgos Costos'!$K$78+1)</f>
        <v>218529.61268577317</v>
      </c>
      <c r="P123" s="29"/>
      <c r="Q123" s="4">
        <f t="shared" si="22"/>
        <v>0.2</v>
      </c>
      <c r="R123" s="263">
        <f>+Q123*('Jerarq. Riesgos Plazo'!$M$67+1)</f>
        <v>0.27549586697449202</v>
      </c>
      <c r="S123" s="34">
        <f>+T123*(-'Jerarq. Riesgos Costos'!$P$76+1)</f>
        <v>157500</v>
      </c>
      <c r="T123" s="203">
        <f t="shared" si="24"/>
        <v>175000</v>
      </c>
      <c r="U123" s="34">
        <f>+T123*('Jerarq. Riesgos Costos'!$Q$76+1)</f>
        <v>221368.45074309272</v>
      </c>
      <c r="V123" s="29"/>
      <c r="W123" s="4">
        <v>0.2</v>
      </c>
      <c r="X123" s="256">
        <f>+W123*('Jerarq. Riesgos Plazo'!$M$65/100+1)</f>
        <v>0.20023907379964415</v>
      </c>
      <c r="Y123" s="29"/>
      <c r="Z123" s="4"/>
      <c r="AA123" s="30"/>
      <c r="AB123" s="29"/>
      <c r="AC123" s="4">
        <v>0.2</v>
      </c>
      <c r="AD123" s="256">
        <f>+AC123*('Jerarq. Riesgos Plazo'!$M$65/100+1)</f>
        <v>0.20023907379964415</v>
      </c>
      <c r="AE123" s="29"/>
      <c r="AF123" s="4"/>
      <c r="AG123" s="30"/>
    </row>
    <row r="124" spans="2:33" ht="18" hidden="1" x14ac:dyDescent="0.25">
      <c r="B124" s="335" t="s">
        <v>518</v>
      </c>
      <c r="C124" s="115" t="s">
        <v>763</v>
      </c>
      <c r="D124" s="112" t="s">
        <v>532</v>
      </c>
      <c r="E124" s="113" t="s">
        <v>472</v>
      </c>
      <c r="F124" s="113">
        <v>150</v>
      </c>
      <c r="G124" s="265">
        <v>1.4</v>
      </c>
      <c r="H124" s="114">
        <v>13067</v>
      </c>
      <c r="I124" s="325">
        <f t="shared" si="26"/>
        <v>1960050</v>
      </c>
      <c r="J124" s="29"/>
      <c r="K124" s="4">
        <v>1.4</v>
      </c>
      <c r="L124" s="294">
        <f>+K124*('Jerarq. Riesgos Plazo'!$M$65+1)</f>
        <v>1.5673516597509052</v>
      </c>
      <c r="M124" s="64">
        <f>+N124*(-'Jerarq. Riesgos Costos'!$J$71+1)</f>
        <v>1764045</v>
      </c>
      <c r="N124" s="203">
        <f t="shared" si="27"/>
        <v>1960050</v>
      </c>
      <c r="O124" s="49">
        <f>+N124*('Jerarq. Riesgos Costos'!$K$78+1)</f>
        <v>2447594.0991128557</v>
      </c>
      <c r="P124" s="29"/>
      <c r="Q124" s="4">
        <f t="shared" si="22"/>
        <v>1.4</v>
      </c>
      <c r="R124" s="263">
        <f>+Q124*('Jerarq. Riesgos Plazo'!$M$67+1)</f>
        <v>1.9284710688214439</v>
      </c>
      <c r="S124" s="34">
        <f>+T124*(-'Jerarq. Riesgos Costos'!$P$76+1)</f>
        <v>1764045</v>
      </c>
      <c r="T124" s="203">
        <f t="shared" si="24"/>
        <v>1960050</v>
      </c>
      <c r="U124" s="34">
        <f>+T124*('Jerarq. Riesgos Costos'!$Q$76+1)</f>
        <v>2479389.896451422</v>
      </c>
      <c r="V124" s="29"/>
      <c r="W124" s="4">
        <v>1.4</v>
      </c>
      <c r="X124" s="256">
        <f>+W124*('Jerarq. Riesgos Plazo'!$M$65/100+1)</f>
        <v>1.4016735165975089</v>
      </c>
      <c r="Y124" s="29"/>
      <c r="Z124" s="4"/>
      <c r="AA124" s="30"/>
      <c r="AB124" s="29"/>
      <c r="AC124" s="4">
        <v>1.4</v>
      </c>
      <c r="AD124" s="256">
        <f>+AC124*('Jerarq. Riesgos Plazo'!$M$65/100+1)</f>
        <v>1.4016735165975089</v>
      </c>
      <c r="AE124" s="29"/>
      <c r="AF124" s="4"/>
      <c r="AG124" s="30"/>
    </row>
    <row r="125" spans="2:33" ht="18" hidden="1" x14ac:dyDescent="0.25">
      <c r="B125" s="335" t="s">
        <v>518</v>
      </c>
      <c r="C125" s="115" t="s">
        <v>764</v>
      </c>
      <c r="D125" s="112" t="s">
        <v>665</v>
      </c>
      <c r="E125" s="113" t="s">
        <v>472</v>
      </c>
      <c r="F125" s="113">
        <v>50</v>
      </c>
      <c r="G125" s="265">
        <v>0.3</v>
      </c>
      <c r="H125" s="114">
        <v>12000</v>
      </c>
      <c r="I125" s="325">
        <f t="shared" si="26"/>
        <v>600000</v>
      </c>
      <c r="J125" s="29"/>
      <c r="K125" s="4">
        <v>0.3</v>
      </c>
      <c r="L125" s="294">
        <f>+K125*('Jerarq. Riesgos Plazo'!$M$65+1)</f>
        <v>0.33586106994662251</v>
      </c>
      <c r="M125" s="64">
        <f>+N125*(-'Jerarq. Riesgos Costos'!$J$71+1)</f>
        <v>540000</v>
      </c>
      <c r="N125" s="203">
        <f t="shared" si="27"/>
        <v>600000</v>
      </c>
      <c r="O125" s="49">
        <f>+N125*('Jerarq. Riesgos Costos'!$K$78+1)</f>
        <v>749244.38635122229</v>
      </c>
      <c r="P125" s="29"/>
      <c r="Q125" s="4">
        <f t="shared" si="22"/>
        <v>0.3</v>
      </c>
      <c r="R125" s="263">
        <f>+Q125*('Jerarq. Riesgos Plazo'!$M$67+1)</f>
        <v>0.41324380046173803</v>
      </c>
      <c r="S125" s="34">
        <f>+T125*(-'Jerarq. Riesgos Costos'!$P$76+1)</f>
        <v>540000</v>
      </c>
      <c r="T125" s="203">
        <f t="shared" si="24"/>
        <v>600000</v>
      </c>
      <c r="U125" s="34">
        <f>+T125*('Jerarq. Riesgos Costos'!$Q$76+1)</f>
        <v>758977.54540488927</v>
      </c>
      <c r="V125" s="29"/>
      <c r="W125" s="4">
        <v>0.3</v>
      </c>
      <c r="X125" s="256">
        <f>+W125*('Jerarq. Riesgos Plazo'!$M$65/100+1)</f>
        <v>0.30035861069946618</v>
      </c>
      <c r="Y125" s="29"/>
      <c r="Z125" s="4"/>
      <c r="AA125" s="30"/>
      <c r="AB125" s="29"/>
      <c r="AC125" s="4">
        <v>0.3</v>
      </c>
      <c r="AD125" s="256">
        <f>+AC125*('Jerarq. Riesgos Plazo'!$M$65/100+1)</f>
        <v>0.30035861069946618</v>
      </c>
      <c r="AE125" s="29"/>
      <c r="AF125" s="4"/>
      <c r="AG125" s="30"/>
    </row>
    <row r="126" spans="2:33" ht="18" hidden="1" x14ac:dyDescent="0.25">
      <c r="B126" s="335" t="s">
        <v>518</v>
      </c>
      <c r="C126" s="115" t="s">
        <v>765</v>
      </c>
      <c r="D126" s="112" t="s">
        <v>533</v>
      </c>
      <c r="E126" s="113" t="s">
        <v>472</v>
      </c>
      <c r="F126" s="113">
        <v>410</v>
      </c>
      <c r="G126" s="265">
        <v>1.5</v>
      </c>
      <c r="H126" s="114">
        <v>16000</v>
      </c>
      <c r="I126" s="325">
        <f t="shared" si="26"/>
        <v>6560000</v>
      </c>
      <c r="J126" s="29"/>
      <c r="K126" s="4">
        <v>1.5</v>
      </c>
      <c r="L126" s="294">
        <f>+K126*('Jerarq. Riesgos Plazo'!$M$65+1)</f>
        <v>1.6793053497331127</v>
      </c>
      <c r="M126" s="64">
        <f>+N126*(-'Jerarq. Riesgos Costos'!$J$71+1)</f>
        <v>5904000</v>
      </c>
      <c r="N126" s="203">
        <f t="shared" si="27"/>
        <v>6560000</v>
      </c>
      <c r="O126" s="49">
        <f>+N126*('Jerarq. Riesgos Costos'!$K$78+1)</f>
        <v>8191738.6241066977</v>
      </c>
      <c r="P126" s="29"/>
      <c r="Q126" s="4">
        <f t="shared" si="22"/>
        <v>1.5</v>
      </c>
      <c r="R126" s="263">
        <f>+Q126*('Jerarq. Riesgos Plazo'!$M$67+1)</f>
        <v>2.0662190023086904</v>
      </c>
      <c r="S126" s="34">
        <f>+T126*(-'Jerarq. Riesgos Costos'!$P$76+1)</f>
        <v>5904000</v>
      </c>
      <c r="T126" s="203">
        <f t="shared" si="24"/>
        <v>6560000</v>
      </c>
      <c r="U126" s="34">
        <f>+T126*('Jerarq. Riesgos Costos'!$Q$76+1)</f>
        <v>8298154.49642679</v>
      </c>
      <c r="V126" s="29"/>
      <c r="W126" s="4">
        <v>1.5</v>
      </c>
      <c r="X126" s="256">
        <f>+W126*('Jerarq. Riesgos Plazo'!$M$65/100+1)</f>
        <v>1.5017930534973312</v>
      </c>
      <c r="Y126" s="29"/>
      <c r="Z126" s="4"/>
      <c r="AA126" s="30"/>
      <c r="AB126" s="29"/>
      <c r="AC126" s="4">
        <v>1.5</v>
      </c>
      <c r="AD126" s="256">
        <f>+AC126*('Jerarq. Riesgos Plazo'!$M$65/100+1)</f>
        <v>1.5017930534973312</v>
      </c>
      <c r="AE126" s="29"/>
      <c r="AF126" s="4"/>
      <c r="AG126" s="30"/>
    </row>
    <row r="127" spans="2:33" ht="18" hidden="1" x14ac:dyDescent="0.25">
      <c r="B127" s="335" t="s">
        <v>518</v>
      </c>
      <c r="C127" s="115" t="s">
        <v>766</v>
      </c>
      <c r="D127" s="112" t="s">
        <v>534</v>
      </c>
      <c r="E127" s="113" t="s">
        <v>472</v>
      </c>
      <c r="F127" s="113">
        <v>320</v>
      </c>
      <c r="G127" s="265">
        <v>0.9</v>
      </c>
      <c r="H127" s="114">
        <v>25000</v>
      </c>
      <c r="I127" s="325">
        <f t="shared" si="26"/>
        <v>8000000</v>
      </c>
      <c r="J127" s="29"/>
      <c r="K127" s="4">
        <v>0.9</v>
      </c>
      <c r="L127" s="294">
        <f>+K127*('Jerarq. Riesgos Plazo'!$M$65+1)</f>
        <v>1.0075832098398676</v>
      </c>
      <c r="M127" s="64">
        <f>+N127*(-'Jerarq. Riesgos Costos'!$J$71+1)</f>
        <v>7200000</v>
      </c>
      <c r="N127" s="203">
        <f t="shared" si="27"/>
        <v>8000000</v>
      </c>
      <c r="O127" s="49">
        <f>+N127*('Jerarq. Riesgos Costos'!$K$78+1)</f>
        <v>9989925.1513496302</v>
      </c>
      <c r="P127" s="29"/>
      <c r="Q127" s="4">
        <f t="shared" si="22"/>
        <v>0.9</v>
      </c>
      <c r="R127" s="263">
        <f>+Q127*('Jerarq. Riesgos Plazo'!$M$67+1)</f>
        <v>1.2397314013852141</v>
      </c>
      <c r="S127" s="34">
        <f>+T127*(-'Jerarq. Riesgos Costos'!$P$76+1)</f>
        <v>7200000</v>
      </c>
      <c r="T127" s="203">
        <f t="shared" si="24"/>
        <v>8000000</v>
      </c>
      <c r="U127" s="34">
        <f>+T127*('Jerarq. Riesgos Costos'!$Q$76+1)</f>
        <v>10119700.605398525</v>
      </c>
      <c r="V127" s="29"/>
      <c r="W127" s="4">
        <v>0.9</v>
      </c>
      <c r="X127" s="256">
        <f>+W127*('Jerarq. Riesgos Plazo'!$M$65/100+1)</f>
        <v>0.9010758320983987</v>
      </c>
      <c r="Y127" s="29"/>
      <c r="Z127" s="4"/>
      <c r="AA127" s="30"/>
      <c r="AB127" s="29"/>
      <c r="AC127" s="4">
        <v>0.9</v>
      </c>
      <c r="AD127" s="256">
        <f>+AC127*('Jerarq. Riesgos Plazo'!$M$65/100+1)</f>
        <v>0.9010758320983987</v>
      </c>
      <c r="AE127" s="29"/>
      <c r="AF127" s="4"/>
      <c r="AG127" s="30"/>
    </row>
    <row r="128" spans="2:33" ht="18" hidden="1" x14ac:dyDescent="0.25">
      <c r="B128" s="335" t="s">
        <v>518</v>
      </c>
      <c r="C128" s="115" t="s">
        <v>767</v>
      </c>
      <c r="D128" s="112" t="s">
        <v>535</v>
      </c>
      <c r="E128" s="113" t="s">
        <v>472</v>
      </c>
      <c r="F128" s="113">
        <v>440</v>
      </c>
      <c r="G128" s="265">
        <v>1</v>
      </c>
      <c r="H128" s="114">
        <v>25000</v>
      </c>
      <c r="I128" s="325">
        <f t="shared" si="26"/>
        <v>11000000</v>
      </c>
      <c r="J128" s="29"/>
      <c r="K128" s="4">
        <v>1</v>
      </c>
      <c r="L128" s="294">
        <f>+K128*('Jerarq. Riesgos Plazo'!$M$65+1)</f>
        <v>1.1195368998220752</v>
      </c>
      <c r="M128" s="64">
        <f>+N128*(-'Jerarq. Riesgos Costos'!$J$71+1)</f>
        <v>9900000</v>
      </c>
      <c r="N128" s="203">
        <f t="shared" si="27"/>
        <v>11000000</v>
      </c>
      <c r="O128" s="49">
        <f>+N128*('Jerarq. Riesgos Costos'!$K$78+1)</f>
        <v>13736147.083105743</v>
      </c>
      <c r="P128" s="29"/>
      <c r="Q128" s="4">
        <f t="shared" si="22"/>
        <v>1</v>
      </c>
      <c r="R128" s="263">
        <f>+Q128*('Jerarq. Riesgos Plazo'!$M$67+1)</f>
        <v>1.3774793348724601</v>
      </c>
      <c r="S128" s="34">
        <f>+T128*(-'Jerarq. Riesgos Costos'!$P$76+1)</f>
        <v>9900000</v>
      </c>
      <c r="T128" s="203">
        <f t="shared" si="24"/>
        <v>11000000</v>
      </c>
      <c r="U128" s="34">
        <f>+T128*('Jerarq. Riesgos Costos'!$Q$76+1)</f>
        <v>13914588.33242297</v>
      </c>
      <c r="V128" s="29"/>
      <c r="W128" s="4">
        <v>1</v>
      </c>
      <c r="X128" s="256">
        <f>+W128*('Jerarq. Riesgos Plazo'!$M$65/100+1)</f>
        <v>1.0011953689982207</v>
      </c>
      <c r="Y128" s="29"/>
      <c r="Z128" s="4"/>
      <c r="AA128" s="30"/>
      <c r="AB128" s="29"/>
      <c r="AC128" s="4">
        <v>1</v>
      </c>
      <c r="AD128" s="256">
        <f>+AC128*('Jerarq. Riesgos Plazo'!$M$65/100+1)</f>
        <v>1.0011953689982207</v>
      </c>
      <c r="AE128" s="29"/>
      <c r="AF128" s="4"/>
      <c r="AG128" s="30"/>
    </row>
    <row r="129" spans="2:33" ht="18" hidden="1" x14ac:dyDescent="0.25">
      <c r="B129" s="335" t="s">
        <v>518</v>
      </c>
      <c r="C129" s="115" t="s">
        <v>768</v>
      </c>
      <c r="D129" s="112" t="s">
        <v>536</v>
      </c>
      <c r="E129" s="113" t="s">
        <v>472</v>
      </c>
      <c r="F129" s="113">
        <v>710</v>
      </c>
      <c r="G129" s="265">
        <v>1</v>
      </c>
      <c r="H129" s="114">
        <v>16000</v>
      </c>
      <c r="I129" s="325">
        <f t="shared" si="26"/>
        <v>11360000</v>
      </c>
      <c r="J129" s="29"/>
      <c r="K129" s="4">
        <v>1</v>
      </c>
      <c r="L129" s="294">
        <f>+K129*('Jerarq. Riesgos Plazo'!$M$65+1)</f>
        <v>1.1195368998220752</v>
      </c>
      <c r="M129" s="64">
        <f>+N129*(-'Jerarq. Riesgos Costos'!$J$71+1)</f>
        <v>10224000</v>
      </c>
      <c r="N129" s="203">
        <f t="shared" si="27"/>
        <v>11360000</v>
      </c>
      <c r="O129" s="49">
        <f>+N129*('Jerarq. Riesgos Costos'!$K$78+1)</f>
        <v>14185693.714916475</v>
      </c>
      <c r="P129" s="29"/>
      <c r="Q129" s="4">
        <f t="shared" si="22"/>
        <v>1</v>
      </c>
      <c r="R129" s="263">
        <f>+Q129*('Jerarq. Riesgos Plazo'!$M$67+1)</f>
        <v>1.3774793348724601</v>
      </c>
      <c r="S129" s="34">
        <f>+T129*(-'Jerarq. Riesgos Costos'!$P$76+1)</f>
        <v>10224000</v>
      </c>
      <c r="T129" s="203">
        <f t="shared" si="24"/>
        <v>11360000</v>
      </c>
      <c r="U129" s="34">
        <f>+T129*('Jerarq. Riesgos Costos'!$Q$76+1)</f>
        <v>14369974.859665904</v>
      </c>
      <c r="V129" s="29"/>
      <c r="W129" s="4">
        <v>1</v>
      </c>
      <c r="X129" s="256">
        <f>+W129*('Jerarq. Riesgos Plazo'!$M$65/100+1)</f>
        <v>1.0011953689982207</v>
      </c>
      <c r="Y129" s="29"/>
      <c r="Z129" s="4"/>
      <c r="AA129" s="30"/>
      <c r="AB129" s="29"/>
      <c r="AC129" s="4">
        <v>1</v>
      </c>
      <c r="AD129" s="256">
        <f>+AC129*('Jerarq. Riesgos Plazo'!$M$65/100+1)</f>
        <v>1.0011953689982207</v>
      </c>
      <c r="AE129" s="29"/>
      <c r="AF129" s="4"/>
      <c r="AG129" s="30"/>
    </row>
    <row r="130" spans="2:33" ht="18" hidden="1" x14ac:dyDescent="0.25">
      <c r="B130" s="335" t="s">
        <v>518</v>
      </c>
      <c r="C130" s="115" t="s">
        <v>769</v>
      </c>
      <c r="D130" s="112" t="s">
        <v>537</v>
      </c>
      <c r="E130" s="113" t="s">
        <v>472</v>
      </c>
      <c r="F130" s="113">
        <v>460</v>
      </c>
      <c r="G130" s="265">
        <v>0.9</v>
      </c>
      <c r="H130" s="114">
        <v>12000</v>
      </c>
      <c r="I130" s="325">
        <f t="shared" si="26"/>
        <v>5520000</v>
      </c>
      <c r="J130" s="29"/>
      <c r="K130" s="4">
        <v>0.9</v>
      </c>
      <c r="L130" s="294">
        <f>+K130*('Jerarq. Riesgos Plazo'!$M$65+1)</f>
        <v>1.0075832098398676</v>
      </c>
      <c r="M130" s="64">
        <f>+N130*(-'Jerarq. Riesgos Costos'!$J$71+1)</f>
        <v>4968000</v>
      </c>
      <c r="N130" s="203">
        <f t="shared" si="27"/>
        <v>5520000</v>
      </c>
      <c r="O130" s="49">
        <f>+N130*('Jerarq. Riesgos Costos'!$K$78+1)</f>
        <v>6893048.3544312455</v>
      </c>
      <c r="P130" s="29"/>
      <c r="Q130" s="4">
        <f t="shared" si="22"/>
        <v>0.9</v>
      </c>
      <c r="R130" s="263">
        <f>+Q130*('Jerarq. Riesgos Plazo'!$M$67+1)</f>
        <v>1.2397314013852141</v>
      </c>
      <c r="S130" s="34">
        <f>+T130*(-'Jerarq. Riesgos Costos'!$P$76+1)</f>
        <v>4968000</v>
      </c>
      <c r="T130" s="203">
        <f t="shared" si="24"/>
        <v>5520000</v>
      </c>
      <c r="U130" s="34">
        <f>+T130*('Jerarq. Riesgos Costos'!$Q$76+1)</f>
        <v>6982593.4177249819</v>
      </c>
      <c r="V130" s="29"/>
      <c r="W130" s="4">
        <v>0.9</v>
      </c>
      <c r="X130" s="256">
        <f>+W130*('Jerarq. Riesgos Plazo'!$M$65/100+1)</f>
        <v>0.9010758320983987</v>
      </c>
      <c r="Y130" s="29"/>
      <c r="Z130" s="4"/>
      <c r="AA130" s="30"/>
      <c r="AB130" s="29"/>
      <c r="AC130" s="4">
        <v>0.9</v>
      </c>
      <c r="AD130" s="256">
        <f>+AC130*('Jerarq. Riesgos Plazo'!$M$65/100+1)</f>
        <v>0.9010758320983987</v>
      </c>
      <c r="AE130" s="29"/>
      <c r="AF130" s="4"/>
      <c r="AG130" s="30"/>
    </row>
    <row r="131" spans="2:33" ht="18" hidden="1" x14ac:dyDescent="0.25">
      <c r="B131" s="335" t="s">
        <v>518</v>
      </c>
      <c r="C131" s="115" t="s">
        <v>770</v>
      </c>
      <c r="D131" s="112" t="s">
        <v>538</v>
      </c>
      <c r="E131" s="113" t="s">
        <v>472</v>
      </c>
      <c r="F131" s="113">
        <v>30</v>
      </c>
      <c r="G131" s="265">
        <v>0.2</v>
      </c>
      <c r="H131" s="114">
        <v>16000</v>
      </c>
      <c r="I131" s="325">
        <f t="shared" si="26"/>
        <v>480000</v>
      </c>
      <c r="J131" s="29"/>
      <c r="K131" s="4">
        <v>0.2</v>
      </c>
      <c r="L131" s="294">
        <f>+K131*('Jerarq. Riesgos Plazo'!$M$65+1)</f>
        <v>0.22390737996441504</v>
      </c>
      <c r="M131" s="64">
        <f>+N131*(-'Jerarq. Riesgos Costos'!$J$71+1)</f>
        <v>432000</v>
      </c>
      <c r="N131" s="203">
        <f t="shared" si="27"/>
        <v>480000</v>
      </c>
      <c r="O131" s="49">
        <f>+N131*('Jerarq. Riesgos Costos'!$K$78+1)</f>
        <v>599395.50908097788</v>
      </c>
      <c r="P131" s="29"/>
      <c r="Q131" s="4">
        <f t="shared" si="22"/>
        <v>0.2</v>
      </c>
      <c r="R131" s="263">
        <f>+Q131*('Jerarq. Riesgos Plazo'!$M$67+1)</f>
        <v>0.27549586697449202</v>
      </c>
      <c r="S131" s="34">
        <f>+T131*(-'Jerarq. Riesgos Costos'!$P$76+1)</f>
        <v>432000</v>
      </c>
      <c r="T131" s="203">
        <f t="shared" si="24"/>
        <v>480000</v>
      </c>
      <c r="U131" s="34">
        <f>+T131*('Jerarq. Riesgos Costos'!$Q$76+1)</f>
        <v>607182.03632391139</v>
      </c>
      <c r="V131" s="29"/>
      <c r="W131" s="4">
        <v>0.2</v>
      </c>
      <c r="X131" s="256">
        <f>+W131*('Jerarq. Riesgos Plazo'!$M$65/100+1)</f>
        <v>0.20023907379964415</v>
      </c>
      <c r="Y131" s="29"/>
      <c r="Z131" s="4"/>
      <c r="AA131" s="30"/>
      <c r="AB131" s="29"/>
      <c r="AC131" s="4">
        <v>0.2</v>
      </c>
      <c r="AD131" s="256">
        <f>+AC131*('Jerarq. Riesgos Plazo'!$M$65/100+1)</f>
        <v>0.20023907379964415</v>
      </c>
      <c r="AE131" s="29"/>
      <c r="AF131" s="4"/>
      <c r="AG131" s="30"/>
    </row>
    <row r="132" spans="2:33" ht="18" hidden="1" x14ac:dyDescent="0.25">
      <c r="B132" s="335" t="s">
        <v>518</v>
      </c>
      <c r="C132" s="115" t="s">
        <v>771</v>
      </c>
      <c r="D132" s="112" t="s">
        <v>539</v>
      </c>
      <c r="E132" s="113" t="s">
        <v>472</v>
      </c>
      <c r="F132" s="113">
        <v>280</v>
      </c>
      <c r="G132" s="265">
        <v>2</v>
      </c>
      <c r="H132" s="114">
        <v>12000</v>
      </c>
      <c r="I132" s="325">
        <f t="shared" si="26"/>
        <v>3360000</v>
      </c>
      <c r="J132" s="29"/>
      <c r="K132" s="4">
        <v>2</v>
      </c>
      <c r="L132" s="294">
        <f>+K132*('Jerarq. Riesgos Plazo'!$M$65+1)</f>
        <v>2.2390737996441503</v>
      </c>
      <c r="M132" s="64">
        <f>+N132*(-'Jerarq. Riesgos Costos'!$J$71+1)</f>
        <v>3024000</v>
      </c>
      <c r="N132" s="203">
        <f t="shared" si="27"/>
        <v>3360000</v>
      </c>
      <c r="O132" s="49">
        <f>+N132*('Jerarq. Riesgos Costos'!$K$78+1)</f>
        <v>4195768.5635668449</v>
      </c>
      <c r="P132" s="29"/>
      <c r="Q132" s="4">
        <f t="shared" si="22"/>
        <v>2</v>
      </c>
      <c r="R132" s="263">
        <f>+Q132*('Jerarq. Riesgos Plazo'!$M$67+1)</f>
        <v>2.7549586697449202</v>
      </c>
      <c r="S132" s="34">
        <f>+T132*(-'Jerarq. Riesgos Costos'!$P$76+1)</f>
        <v>3024000</v>
      </c>
      <c r="T132" s="203">
        <f t="shared" si="24"/>
        <v>3360000</v>
      </c>
      <c r="U132" s="34">
        <f>+T132*('Jerarq. Riesgos Costos'!$Q$76+1)</f>
        <v>4250274.2542673806</v>
      </c>
      <c r="V132" s="29"/>
      <c r="W132" s="4">
        <v>2</v>
      </c>
      <c r="X132" s="256">
        <f>+W132*('Jerarq. Riesgos Plazo'!$M$65/100+1)</f>
        <v>2.0023907379964414</v>
      </c>
      <c r="Y132" s="29"/>
      <c r="Z132" s="4"/>
      <c r="AA132" s="30"/>
      <c r="AB132" s="29"/>
      <c r="AC132" s="4">
        <v>2</v>
      </c>
      <c r="AD132" s="256">
        <f>+AC132*('Jerarq. Riesgos Plazo'!$M$65/100+1)</f>
        <v>2.0023907379964414</v>
      </c>
      <c r="AE132" s="29"/>
      <c r="AF132" s="4"/>
      <c r="AG132" s="30"/>
    </row>
    <row r="133" spans="2:33" ht="18" hidden="1" x14ac:dyDescent="0.25">
      <c r="B133" s="335" t="s">
        <v>518</v>
      </c>
      <c r="C133" s="115" t="s">
        <v>772</v>
      </c>
      <c r="D133" s="112" t="s">
        <v>540</v>
      </c>
      <c r="E133" s="113" t="s">
        <v>472</v>
      </c>
      <c r="F133" s="113">
        <v>439</v>
      </c>
      <c r="G133" s="265">
        <v>1</v>
      </c>
      <c r="H133" s="114">
        <v>6000</v>
      </c>
      <c r="I133" s="325">
        <f t="shared" si="26"/>
        <v>2634000</v>
      </c>
      <c r="J133" s="29"/>
      <c r="K133" s="4">
        <v>1</v>
      </c>
      <c r="L133" s="294">
        <f>+K133*('Jerarq. Riesgos Plazo'!$M$65+1)</f>
        <v>1.1195368998220752</v>
      </c>
      <c r="M133" s="64">
        <f>+N133*(-'Jerarq. Riesgos Costos'!$J$71+1)</f>
        <v>2370600</v>
      </c>
      <c r="N133" s="203">
        <f t="shared" si="27"/>
        <v>2634000</v>
      </c>
      <c r="O133" s="49">
        <f>+N133*('Jerarq. Riesgos Costos'!$K$78+1)</f>
        <v>3289182.8560818662</v>
      </c>
      <c r="P133" s="29"/>
      <c r="Q133" s="4">
        <f t="shared" si="22"/>
        <v>1</v>
      </c>
      <c r="R133" s="263">
        <f>+Q133*('Jerarq. Riesgos Plazo'!$M$67+1)</f>
        <v>1.3774793348724601</v>
      </c>
      <c r="S133" s="34">
        <f>+T133*(-'Jerarq. Riesgos Costos'!$P$76+1)</f>
        <v>2370600</v>
      </c>
      <c r="T133" s="203">
        <f t="shared" si="24"/>
        <v>2634000</v>
      </c>
      <c r="U133" s="34">
        <f>+T133*('Jerarq. Riesgos Costos'!$Q$76+1)</f>
        <v>3331911.4243274638</v>
      </c>
      <c r="V133" s="29"/>
      <c r="W133" s="4">
        <v>1</v>
      </c>
      <c r="X133" s="256">
        <f>+W133*('Jerarq. Riesgos Plazo'!$M$65/100+1)</f>
        <v>1.0011953689982207</v>
      </c>
      <c r="Y133" s="29"/>
      <c r="Z133" s="4"/>
      <c r="AA133" s="30"/>
      <c r="AB133" s="29"/>
      <c r="AC133" s="4">
        <v>1</v>
      </c>
      <c r="AD133" s="256">
        <f>+AC133*('Jerarq. Riesgos Plazo'!$M$65/100+1)</f>
        <v>1.0011953689982207</v>
      </c>
      <c r="AE133" s="29"/>
      <c r="AF133" s="4"/>
      <c r="AG133" s="30"/>
    </row>
    <row r="134" spans="2:33" ht="18" hidden="1" x14ac:dyDescent="0.25">
      <c r="B134" s="335" t="s">
        <v>518</v>
      </c>
      <c r="C134" s="115" t="s">
        <v>773</v>
      </c>
      <c r="D134" s="112" t="s">
        <v>541</v>
      </c>
      <c r="E134" s="113" t="s">
        <v>472</v>
      </c>
      <c r="F134" s="113">
        <v>40</v>
      </c>
      <c r="G134" s="265">
        <v>0.2</v>
      </c>
      <c r="H134" s="114">
        <v>6000</v>
      </c>
      <c r="I134" s="325">
        <f t="shared" si="26"/>
        <v>240000</v>
      </c>
      <c r="J134" s="29"/>
      <c r="K134" s="4">
        <v>0.2</v>
      </c>
      <c r="L134" s="294">
        <f>+K134*('Jerarq. Riesgos Plazo'!$M$65+1)</f>
        <v>0.22390737996441504</v>
      </c>
      <c r="M134" s="64">
        <f>+N134*(-'Jerarq. Riesgos Costos'!$J$71+1)</f>
        <v>216000</v>
      </c>
      <c r="N134" s="203">
        <f t="shared" si="27"/>
        <v>240000</v>
      </c>
      <c r="O134" s="49">
        <f>+N134*('Jerarq. Riesgos Costos'!$K$78+1)</f>
        <v>299697.75454048894</v>
      </c>
      <c r="P134" s="29"/>
      <c r="Q134" s="4">
        <f t="shared" si="22"/>
        <v>0.2</v>
      </c>
      <c r="R134" s="263">
        <f>+Q134*('Jerarq. Riesgos Plazo'!$M$67+1)</f>
        <v>0.27549586697449202</v>
      </c>
      <c r="S134" s="34">
        <f>+T134*(-'Jerarq. Riesgos Costos'!$P$76+1)</f>
        <v>216000</v>
      </c>
      <c r="T134" s="203">
        <f t="shared" si="24"/>
        <v>240000</v>
      </c>
      <c r="U134" s="34">
        <f>+T134*('Jerarq. Riesgos Costos'!$Q$76+1)</f>
        <v>303591.0181619557</v>
      </c>
      <c r="V134" s="29"/>
      <c r="W134" s="4">
        <v>0.2</v>
      </c>
      <c r="X134" s="256">
        <f>+W134*('Jerarq. Riesgos Plazo'!$M$65/100+1)</f>
        <v>0.20023907379964415</v>
      </c>
      <c r="Y134" s="29"/>
      <c r="Z134" s="4"/>
      <c r="AA134" s="30"/>
      <c r="AB134" s="29"/>
      <c r="AC134" s="4">
        <v>0.2</v>
      </c>
      <c r="AD134" s="256">
        <f>+AC134*('Jerarq. Riesgos Plazo'!$M$65/100+1)</f>
        <v>0.20023907379964415</v>
      </c>
      <c r="AE134" s="29"/>
      <c r="AF134" s="4"/>
      <c r="AG134" s="30"/>
    </row>
    <row r="135" spans="2:33" ht="18" hidden="1" x14ac:dyDescent="0.25">
      <c r="B135" s="335" t="s">
        <v>518</v>
      </c>
      <c r="C135" s="115" t="s">
        <v>774</v>
      </c>
      <c r="D135" s="112" t="s">
        <v>542</v>
      </c>
      <c r="E135" s="113" t="s">
        <v>472</v>
      </c>
      <c r="F135" s="113">
        <v>24</v>
      </c>
      <c r="G135" s="265">
        <v>0.1</v>
      </c>
      <c r="H135" s="114">
        <v>6000</v>
      </c>
      <c r="I135" s="325">
        <f t="shared" si="26"/>
        <v>144000</v>
      </c>
      <c r="J135" s="29"/>
      <c r="K135" s="4">
        <v>0.1</v>
      </c>
      <c r="L135" s="294">
        <f>+K135*('Jerarq. Riesgos Plazo'!$M$65+1)</f>
        <v>0.11195368998220752</v>
      </c>
      <c r="M135" s="64">
        <f>+N135*(-'Jerarq. Riesgos Costos'!$J$71+1)</f>
        <v>129600</v>
      </c>
      <c r="N135" s="203">
        <f t="shared" si="27"/>
        <v>144000</v>
      </c>
      <c r="O135" s="49">
        <f>+N135*('Jerarq. Riesgos Costos'!$K$78+1)</f>
        <v>179818.65272429335</v>
      </c>
      <c r="P135" s="29"/>
      <c r="Q135" s="4">
        <f t="shared" ref="Q135:Q148" si="28">+K135</f>
        <v>0.1</v>
      </c>
      <c r="R135" s="263">
        <f>+Q135*('Jerarq. Riesgos Plazo'!$M$67+1)</f>
        <v>0.13774793348724601</v>
      </c>
      <c r="S135" s="34">
        <f>+T135*(-'Jerarq. Riesgos Costos'!$P$76+1)</f>
        <v>129600</v>
      </c>
      <c r="T135" s="203">
        <f t="shared" si="24"/>
        <v>144000</v>
      </c>
      <c r="U135" s="34">
        <f>+T135*('Jerarq. Riesgos Costos'!$Q$76+1)</f>
        <v>182154.61089717344</v>
      </c>
      <c r="V135" s="29"/>
      <c r="W135" s="4">
        <v>0.1</v>
      </c>
      <c r="X135" s="256">
        <f>+W135*('Jerarq. Riesgos Plazo'!$M$65/100+1)</f>
        <v>0.10011953689982207</v>
      </c>
      <c r="Y135" s="29"/>
      <c r="Z135" s="4"/>
      <c r="AA135" s="30"/>
      <c r="AB135" s="29"/>
      <c r="AC135" s="4">
        <v>0.1</v>
      </c>
      <c r="AD135" s="256">
        <f>+AC135*('Jerarq. Riesgos Plazo'!$M$65/100+1)</f>
        <v>0.10011953689982207</v>
      </c>
      <c r="AE135" s="29"/>
      <c r="AF135" s="4"/>
      <c r="AG135" s="30"/>
    </row>
    <row r="136" spans="2:33" ht="18" hidden="1" x14ac:dyDescent="0.25">
      <c r="B136" s="335" t="s">
        <v>518</v>
      </c>
      <c r="C136" s="115" t="s">
        <v>775</v>
      </c>
      <c r="D136" s="112" t="s">
        <v>543</v>
      </c>
      <c r="E136" s="113" t="s">
        <v>472</v>
      </c>
      <c r="F136" s="113">
        <v>52</v>
      </c>
      <c r="G136" s="265">
        <v>0.2</v>
      </c>
      <c r="H136" s="114">
        <v>6000</v>
      </c>
      <c r="I136" s="325">
        <f t="shared" si="26"/>
        <v>312000</v>
      </c>
      <c r="J136" s="29"/>
      <c r="K136" s="4">
        <v>0.2</v>
      </c>
      <c r="L136" s="294">
        <f>+K136*('Jerarq. Riesgos Plazo'!$M$65+1)</f>
        <v>0.22390737996441504</v>
      </c>
      <c r="M136" s="64">
        <f>+N136*(-'Jerarq. Riesgos Costos'!$J$71+1)</f>
        <v>280800</v>
      </c>
      <c r="N136" s="203">
        <f t="shared" si="27"/>
        <v>312000</v>
      </c>
      <c r="O136" s="49">
        <f>+N136*('Jerarq. Riesgos Costos'!$K$78+1)</f>
        <v>389607.08090263559</v>
      </c>
      <c r="P136" s="29"/>
      <c r="Q136" s="4">
        <f t="shared" si="28"/>
        <v>0.2</v>
      </c>
      <c r="R136" s="263">
        <f>+Q136*('Jerarq. Riesgos Plazo'!$M$67+1)</f>
        <v>0.27549586697449202</v>
      </c>
      <c r="S136" s="34">
        <f>+T136*(-'Jerarq. Riesgos Costos'!$P$76+1)</f>
        <v>280800</v>
      </c>
      <c r="T136" s="203">
        <f t="shared" si="24"/>
        <v>312000</v>
      </c>
      <c r="U136" s="34">
        <f>+T136*('Jerarq. Riesgos Costos'!$Q$76+1)</f>
        <v>394668.32361054246</v>
      </c>
      <c r="V136" s="29"/>
      <c r="W136" s="4">
        <v>0.2</v>
      </c>
      <c r="X136" s="256">
        <f>+W136*('Jerarq. Riesgos Plazo'!$M$65/100+1)</f>
        <v>0.20023907379964415</v>
      </c>
      <c r="Y136" s="29"/>
      <c r="Z136" s="4"/>
      <c r="AA136" s="30"/>
      <c r="AB136" s="29"/>
      <c r="AC136" s="4">
        <v>0.2</v>
      </c>
      <c r="AD136" s="256">
        <f>+AC136*('Jerarq. Riesgos Plazo'!$M$65/100+1)</f>
        <v>0.20023907379964415</v>
      </c>
      <c r="AE136" s="29"/>
      <c r="AF136" s="4"/>
      <c r="AG136" s="30"/>
    </row>
    <row r="137" spans="2:33" ht="18" hidden="1" x14ac:dyDescent="0.25">
      <c r="B137" s="335" t="s">
        <v>518</v>
      </c>
      <c r="C137" s="115" t="s">
        <v>776</v>
      </c>
      <c r="D137" s="112" t="s">
        <v>544</v>
      </c>
      <c r="E137" s="113" t="s">
        <v>472</v>
      </c>
      <c r="F137" s="113">
        <v>19</v>
      </c>
      <c r="G137" s="265">
        <v>0.1</v>
      </c>
      <c r="H137" s="114">
        <v>6000</v>
      </c>
      <c r="I137" s="325">
        <f t="shared" si="26"/>
        <v>114000</v>
      </c>
      <c r="J137" s="29"/>
      <c r="K137" s="4">
        <v>0.1</v>
      </c>
      <c r="L137" s="294">
        <f>+K137*('Jerarq. Riesgos Plazo'!$M$65+1)</f>
        <v>0.11195368998220752</v>
      </c>
      <c r="M137" s="64">
        <f>+N137*(-'Jerarq. Riesgos Costos'!$J$71+1)</f>
        <v>102600</v>
      </c>
      <c r="N137" s="203">
        <f t="shared" si="27"/>
        <v>114000</v>
      </c>
      <c r="O137" s="49">
        <f>+N137*('Jerarq. Riesgos Costos'!$K$78+1)</f>
        <v>142356.43340673225</v>
      </c>
      <c r="P137" s="29"/>
      <c r="Q137" s="4">
        <f t="shared" si="28"/>
        <v>0.1</v>
      </c>
      <c r="R137" s="263">
        <f>+Q137*('Jerarq. Riesgos Plazo'!$M$67+1)</f>
        <v>0.13774793348724601</v>
      </c>
      <c r="S137" s="34">
        <f>+T137*(-'Jerarq. Riesgos Costos'!$P$76+1)</f>
        <v>102600</v>
      </c>
      <c r="T137" s="203">
        <f t="shared" si="24"/>
        <v>114000</v>
      </c>
      <c r="U137" s="34">
        <f>+T137*('Jerarq. Riesgos Costos'!$Q$76+1)</f>
        <v>144205.73362692897</v>
      </c>
      <c r="V137" s="29"/>
      <c r="W137" s="4">
        <v>0.1</v>
      </c>
      <c r="X137" s="256">
        <f>+W137*('Jerarq. Riesgos Plazo'!$M$65/100+1)</f>
        <v>0.10011953689982207</v>
      </c>
      <c r="Y137" s="29"/>
      <c r="Z137" s="4"/>
      <c r="AA137" s="30"/>
      <c r="AB137" s="29"/>
      <c r="AC137" s="4">
        <v>0.1</v>
      </c>
      <c r="AD137" s="256">
        <f>+AC137*('Jerarq. Riesgos Plazo'!$M$65/100+1)</f>
        <v>0.10011953689982207</v>
      </c>
      <c r="AE137" s="29"/>
      <c r="AF137" s="4"/>
      <c r="AG137" s="30"/>
    </row>
    <row r="138" spans="2:33" ht="18" hidden="1" x14ac:dyDescent="0.25">
      <c r="B138" s="335" t="s">
        <v>518</v>
      </c>
      <c r="C138" s="115" t="s">
        <v>777</v>
      </c>
      <c r="D138" s="112" t="s">
        <v>545</v>
      </c>
      <c r="E138" s="113" t="s">
        <v>472</v>
      </c>
      <c r="F138" s="113">
        <v>115</v>
      </c>
      <c r="G138" s="265">
        <v>1</v>
      </c>
      <c r="H138" s="114">
        <v>24000</v>
      </c>
      <c r="I138" s="325">
        <f t="shared" si="26"/>
        <v>2760000</v>
      </c>
      <c r="J138" s="29"/>
      <c r="K138" s="4">
        <v>1</v>
      </c>
      <c r="L138" s="294">
        <f>+K138*('Jerarq. Riesgos Plazo'!$M$65+1)</f>
        <v>1.1195368998220752</v>
      </c>
      <c r="M138" s="64">
        <f>+N138*(-'Jerarq. Riesgos Costos'!$J$71+1)</f>
        <v>2484000</v>
      </c>
      <c r="N138" s="203">
        <f t="shared" si="27"/>
        <v>2760000</v>
      </c>
      <c r="O138" s="49">
        <f>+N138*('Jerarq. Riesgos Costos'!$K$78+1)</f>
        <v>3446524.1772156227</v>
      </c>
      <c r="P138" s="29"/>
      <c r="Q138" s="4">
        <f t="shared" si="28"/>
        <v>1</v>
      </c>
      <c r="R138" s="263">
        <f>+Q138*('Jerarq. Riesgos Plazo'!$M$67+1)</f>
        <v>1.3774793348724601</v>
      </c>
      <c r="S138" s="34">
        <f>+T138*(-'Jerarq. Riesgos Costos'!$P$76+1)</f>
        <v>2484000</v>
      </c>
      <c r="T138" s="203">
        <f t="shared" si="24"/>
        <v>2760000</v>
      </c>
      <c r="U138" s="34">
        <f>+T138*('Jerarq. Riesgos Costos'!$Q$76+1)</f>
        <v>3491296.708862491</v>
      </c>
      <c r="V138" s="29"/>
      <c r="W138" s="4">
        <v>1</v>
      </c>
      <c r="X138" s="256">
        <f>+W138*('Jerarq. Riesgos Plazo'!$M$65/100+1)</f>
        <v>1.0011953689982207</v>
      </c>
      <c r="Y138" s="29"/>
      <c r="Z138" s="4"/>
      <c r="AA138" s="30"/>
      <c r="AB138" s="29"/>
      <c r="AC138" s="4">
        <v>1</v>
      </c>
      <c r="AD138" s="256">
        <f>+AC138*('Jerarq. Riesgos Plazo'!$M$65/100+1)</f>
        <v>1.0011953689982207</v>
      </c>
      <c r="AE138" s="29"/>
      <c r="AF138" s="4"/>
      <c r="AG138" s="30"/>
    </row>
    <row r="139" spans="2:33" ht="18" hidden="1" x14ac:dyDescent="0.25">
      <c r="B139" s="335" t="s">
        <v>518</v>
      </c>
      <c r="C139" s="115" t="s">
        <v>778</v>
      </c>
      <c r="D139" s="112" t="s">
        <v>546</v>
      </c>
      <c r="E139" s="113" t="s">
        <v>453</v>
      </c>
      <c r="F139" s="113">
        <v>10</v>
      </c>
      <c r="G139" s="265">
        <v>0.1</v>
      </c>
      <c r="H139" s="114">
        <v>30000</v>
      </c>
      <c r="I139" s="325">
        <f t="shared" si="26"/>
        <v>300000</v>
      </c>
      <c r="J139" s="29"/>
      <c r="K139" s="4">
        <v>0.1</v>
      </c>
      <c r="L139" s="294">
        <f>+K139*('Jerarq. Riesgos Plazo'!$M$65+1)</f>
        <v>0.11195368998220752</v>
      </c>
      <c r="M139" s="64">
        <f>+N139*(-'Jerarq. Riesgos Costos'!$J$71+1)</f>
        <v>270000</v>
      </c>
      <c r="N139" s="203">
        <f t="shared" si="27"/>
        <v>300000</v>
      </c>
      <c r="O139" s="49">
        <f>+N139*('Jerarq. Riesgos Costos'!$K$78+1)</f>
        <v>374622.19317561114</v>
      </c>
      <c r="P139" s="29"/>
      <c r="Q139" s="4">
        <f t="shared" si="28"/>
        <v>0.1</v>
      </c>
      <c r="R139" s="263">
        <f>+Q139*('Jerarq. Riesgos Plazo'!$M$67+1)</f>
        <v>0.13774793348724601</v>
      </c>
      <c r="S139" s="34">
        <f>+T139*(-'Jerarq. Riesgos Costos'!$P$76+1)</f>
        <v>270000</v>
      </c>
      <c r="T139" s="203">
        <f t="shared" si="24"/>
        <v>300000</v>
      </c>
      <c r="U139" s="34">
        <f>+T139*('Jerarq. Riesgos Costos'!$Q$76+1)</f>
        <v>379488.77270244464</v>
      </c>
      <c r="V139" s="29"/>
      <c r="W139" s="4">
        <v>0.1</v>
      </c>
      <c r="X139" s="256">
        <f>+W139*('Jerarq. Riesgos Plazo'!$M$65/100+1)</f>
        <v>0.10011953689982207</v>
      </c>
      <c r="Y139" s="29"/>
      <c r="Z139" s="4"/>
      <c r="AA139" s="30"/>
      <c r="AB139" s="29"/>
      <c r="AC139" s="4">
        <v>0.1</v>
      </c>
      <c r="AD139" s="256">
        <f>+AC139*('Jerarq. Riesgos Plazo'!$M$65/100+1)</f>
        <v>0.10011953689982207</v>
      </c>
      <c r="AE139" s="29"/>
      <c r="AF139" s="4"/>
      <c r="AG139" s="30"/>
    </row>
    <row r="140" spans="2:33" ht="18" hidden="1" x14ac:dyDescent="0.25">
      <c r="B140" s="335" t="s">
        <v>518</v>
      </c>
      <c r="C140" s="115" t="s">
        <v>779</v>
      </c>
      <c r="D140" s="112" t="s">
        <v>547</v>
      </c>
      <c r="E140" s="113" t="s">
        <v>453</v>
      </c>
      <c r="F140" s="113">
        <v>1</v>
      </c>
      <c r="G140" s="265">
        <v>0.1</v>
      </c>
      <c r="H140" s="114">
        <v>60000</v>
      </c>
      <c r="I140" s="325">
        <f t="shared" si="26"/>
        <v>60000</v>
      </c>
      <c r="J140" s="29"/>
      <c r="K140" s="4">
        <v>0.1</v>
      </c>
      <c r="L140" s="294">
        <f>+K140*('Jerarq. Riesgos Plazo'!$M$65+1)</f>
        <v>0.11195368998220752</v>
      </c>
      <c r="M140" s="64">
        <f>+N140*(-'Jerarq. Riesgos Costos'!$J$71+1)</f>
        <v>54000</v>
      </c>
      <c r="N140" s="203">
        <f t="shared" si="27"/>
        <v>60000</v>
      </c>
      <c r="O140" s="49">
        <f>+N140*('Jerarq. Riesgos Costos'!$K$78+1)</f>
        <v>74924.438635122235</v>
      </c>
      <c r="P140" s="29"/>
      <c r="Q140" s="4">
        <f t="shared" si="28"/>
        <v>0.1</v>
      </c>
      <c r="R140" s="263">
        <f>+Q140*('Jerarq. Riesgos Plazo'!$M$67+1)</f>
        <v>0.13774793348724601</v>
      </c>
      <c r="S140" s="34">
        <f>+T140*(-'Jerarq. Riesgos Costos'!$P$76+1)</f>
        <v>54000</v>
      </c>
      <c r="T140" s="203">
        <f t="shared" si="24"/>
        <v>60000</v>
      </c>
      <c r="U140" s="34">
        <f>+T140*('Jerarq. Riesgos Costos'!$Q$76+1)</f>
        <v>75897.754540488924</v>
      </c>
      <c r="V140" s="29"/>
      <c r="W140" s="4">
        <v>0.1</v>
      </c>
      <c r="X140" s="256">
        <f>+W140*('Jerarq. Riesgos Plazo'!$M$65/100+1)</f>
        <v>0.10011953689982207</v>
      </c>
      <c r="Y140" s="29"/>
      <c r="Z140" s="4"/>
      <c r="AA140" s="30"/>
      <c r="AB140" s="29"/>
      <c r="AC140" s="4">
        <v>0.1</v>
      </c>
      <c r="AD140" s="256">
        <f>+AC140*('Jerarq. Riesgos Plazo'!$M$65/100+1)</f>
        <v>0.10011953689982207</v>
      </c>
      <c r="AE140" s="29"/>
      <c r="AF140" s="4"/>
      <c r="AG140" s="30"/>
    </row>
    <row r="141" spans="2:33" ht="18" hidden="1" x14ac:dyDescent="0.25">
      <c r="B141" s="335" t="s">
        <v>518</v>
      </c>
      <c r="C141" s="115" t="s">
        <v>780</v>
      </c>
      <c r="D141" s="112" t="s">
        <v>548</v>
      </c>
      <c r="E141" s="113" t="s">
        <v>453</v>
      </c>
      <c r="F141" s="113">
        <v>2</v>
      </c>
      <c r="G141" s="265">
        <v>0.1</v>
      </c>
      <c r="H141" s="114">
        <v>60000</v>
      </c>
      <c r="I141" s="325">
        <f t="shared" si="26"/>
        <v>120000</v>
      </c>
      <c r="J141" s="29"/>
      <c r="K141" s="4">
        <v>0.1</v>
      </c>
      <c r="L141" s="294">
        <f>+K141*('Jerarq. Riesgos Plazo'!$M$65+1)</f>
        <v>0.11195368998220752</v>
      </c>
      <c r="M141" s="64">
        <f>+N141*(-'Jerarq. Riesgos Costos'!$J$71+1)</f>
        <v>108000</v>
      </c>
      <c r="N141" s="203">
        <f t="shared" si="27"/>
        <v>120000</v>
      </c>
      <c r="O141" s="49">
        <f>+N141*('Jerarq. Riesgos Costos'!$K$78+1)</f>
        <v>149848.87727024447</v>
      </c>
      <c r="P141" s="29"/>
      <c r="Q141" s="4">
        <f t="shared" si="28"/>
        <v>0.1</v>
      </c>
      <c r="R141" s="263">
        <f>+Q141*('Jerarq. Riesgos Plazo'!$M$67+1)</f>
        <v>0.13774793348724601</v>
      </c>
      <c r="S141" s="34">
        <f>+T141*(-'Jerarq. Riesgos Costos'!$P$76+1)</f>
        <v>108000</v>
      </c>
      <c r="T141" s="203">
        <f t="shared" si="24"/>
        <v>120000</v>
      </c>
      <c r="U141" s="34">
        <f>+T141*('Jerarq. Riesgos Costos'!$Q$76+1)</f>
        <v>151795.50908097785</v>
      </c>
      <c r="V141" s="29"/>
      <c r="W141" s="4">
        <v>0.1</v>
      </c>
      <c r="X141" s="256">
        <f>+W141*('Jerarq. Riesgos Plazo'!$M$65/100+1)</f>
        <v>0.10011953689982207</v>
      </c>
      <c r="Y141" s="29"/>
      <c r="Z141" s="4"/>
      <c r="AA141" s="30"/>
      <c r="AB141" s="29"/>
      <c r="AC141" s="4">
        <v>0.1</v>
      </c>
      <c r="AD141" s="256">
        <f>+AC141*('Jerarq. Riesgos Plazo'!$M$65/100+1)</f>
        <v>0.10011953689982207</v>
      </c>
      <c r="AE141" s="29"/>
      <c r="AF141" s="4"/>
      <c r="AG141" s="30"/>
    </row>
    <row r="142" spans="2:33" ht="18" hidden="1" x14ac:dyDescent="0.25">
      <c r="B142" s="335" t="s">
        <v>518</v>
      </c>
      <c r="C142" s="115" t="s">
        <v>781</v>
      </c>
      <c r="D142" s="112" t="s">
        <v>549</v>
      </c>
      <c r="E142" s="113" t="s">
        <v>453</v>
      </c>
      <c r="F142" s="113">
        <v>2</v>
      </c>
      <c r="G142" s="265">
        <v>0.2</v>
      </c>
      <c r="H142" s="114">
        <v>60000</v>
      </c>
      <c r="I142" s="325">
        <f t="shared" si="26"/>
        <v>120000</v>
      </c>
      <c r="J142" s="29"/>
      <c r="K142" s="4">
        <v>0.2</v>
      </c>
      <c r="L142" s="294">
        <f>+K142*('Jerarq. Riesgos Plazo'!$M$65+1)</f>
        <v>0.22390737996441504</v>
      </c>
      <c r="M142" s="64">
        <f>+N142*(-'Jerarq. Riesgos Costos'!$J$71+1)</f>
        <v>108000</v>
      </c>
      <c r="N142" s="203">
        <f t="shared" si="27"/>
        <v>120000</v>
      </c>
      <c r="O142" s="49">
        <f>+N142*('Jerarq. Riesgos Costos'!$K$78+1)</f>
        <v>149848.87727024447</v>
      </c>
      <c r="P142" s="29"/>
      <c r="Q142" s="4">
        <f t="shared" si="28"/>
        <v>0.2</v>
      </c>
      <c r="R142" s="263">
        <f>+Q142*('Jerarq. Riesgos Plazo'!$M$67+1)</f>
        <v>0.27549586697449202</v>
      </c>
      <c r="S142" s="34">
        <f>+T142*(-'Jerarq. Riesgos Costos'!$P$76+1)</f>
        <v>108000</v>
      </c>
      <c r="T142" s="203">
        <f t="shared" si="24"/>
        <v>120000</v>
      </c>
      <c r="U142" s="34">
        <f>+T142*('Jerarq. Riesgos Costos'!$Q$76+1)</f>
        <v>151795.50908097785</v>
      </c>
      <c r="V142" s="29"/>
      <c r="W142" s="4">
        <v>0.2</v>
      </c>
      <c r="X142" s="256">
        <f>+W142*('Jerarq. Riesgos Plazo'!$M$65/100+1)</f>
        <v>0.20023907379964415</v>
      </c>
      <c r="Y142" s="29"/>
      <c r="Z142" s="4"/>
      <c r="AA142" s="30"/>
      <c r="AB142" s="29"/>
      <c r="AC142" s="4">
        <v>0.2</v>
      </c>
      <c r="AD142" s="256">
        <f>+AC142*('Jerarq. Riesgos Plazo'!$M$65/100+1)</f>
        <v>0.20023907379964415</v>
      </c>
      <c r="AE142" s="29"/>
      <c r="AF142" s="4"/>
      <c r="AG142" s="30"/>
    </row>
    <row r="143" spans="2:33" ht="18" hidden="1" x14ac:dyDescent="0.25">
      <c r="B143" s="335" t="s">
        <v>518</v>
      </c>
      <c r="C143" s="115" t="s">
        <v>782</v>
      </c>
      <c r="D143" s="112" t="s">
        <v>550</v>
      </c>
      <c r="E143" s="113" t="s">
        <v>453</v>
      </c>
      <c r="F143" s="113">
        <v>1</v>
      </c>
      <c r="G143" s="265">
        <v>0.1</v>
      </c>
      <c r="H143" s="114">
        <v>30000</v>
      </c>
      <c r="I143" s="325">
        <f t="shared" si="26"/>
        <v>30000</v>
      </c>
      <c r="J143" s="29"/>
      <c r="K143" s="4">
        <v>0.1</v>
      </c>
      <c r="L143" s="294">
        <f>+K143*('Jerarq. Riesgos Plazo'!$M$65+1)</f>
        <v>0.11195368998220752</v>
      </c>
      <c r="M143" s="64">
        <f>+N143*(-'Jerarq. Riesgos Costos'!$J$71+1)</f>
        <v>27000</v>
      </c>
      <c r="N143" s="203">
        <f t="shared" si="27"/>
        <v>30000</v>
      </c>
      <c r="O143" s="49">
        <f>+N143*('Jerarq. Riesgos Costos'!$K$78+1)</f>
        <v>37462.219317561117</v>
      </c>
      <c r="P143" s="29"/>
      <c r="Q143" s="4">
        <f t="shared" si="28"/>
        <v>0.1</v>
      </c>
      <c r="R143" s="263">
        <f>+Q143*('Jerarq. Riesgos Plazo'!$M$67+1)</f>
        <v>0.13774793348724601</v>
      </c>
      <c r="S143" s="34">
        <f>+T143*(-'Jerarq. Riesgos Costos'!$P$76+1)</f>
        <v>27000</v>
      </c>
      <c r="T143" s="203">
        <f t="shared" si="24"/>
        <v>30000</v>
      </c>
      <c r="U143" s="34">
        <f>+T143*('Jerarq. Riesgos Costos'!$Q$76+1)</f>
        <v>37948.877270244462</v>
      </c>
      <c r="V143" s="29"/>
      <c r="W143" s="4">
        <v>0.1</v>
      </c>
      <c r="X143" s="256">
        <f>+W143*('Jerarq. Riesgos Plazo'!$M$65/100+1)</f>
        <v>0.10011953689982207</v>
      </c>
      <c r="Y143" s="29"/>
      <c r="Z143" s="4"/>
      <c r="AA143" s="30"/>
      <c r="AB143" s="29"/>
      <c r="AC143" s="4">
        <v>0.1</v>
      </c>
      <c r="AD143" s="256">
        <f>+AC143*('Jerarq. Riesgos Plazo'!$M$65/100+1)</f>
        <v>0.10011953689982207</v>
      </c>
      <c r="AE143" s="29"/>
      <c r="AF143" s="4"/>
      <c r="AG143" s="30"/>
    </row>
    <row r="144" spans="2:33" ht="18" hidden="1" x14ac:dyDescent="0.25">
      <c r="B144" s="335" t="s">
        <v>518</v>
      </c>
      <c r="C144" s="115" t="s">
        <v>783</v>
      </c>
      <c r="D144" s="112" t="s">
        <v>551</v>
      </c>
      <c r="E144" s="113" t="s">
        <v>453</v>
      </c>
      <c r="F144" s="113">
        <v>1</v>
      </c>
      <c r="G144" s="265">
        <v>0.1</v>
      </c>
      <c r="H144" s="114">
        <v>60000</v>
      </c>
      <c r="I144" s="325">
        <f t="shared" si="26"/>
        <v>60000</v>
      </c>
      <c r="J144" s="29"/>
      <c r="K144" s="4">
        <v>0.1</v>
      </c>
      <c r="L144" s="294">
        <f>+K144*('Jerarq. Riesgos Plazo'!$M$65+1)</f>
        <v>0.11195368998220752</v>
      </c>
      <c r="M144" s="64">
        <f>+N144*(-'Jerarq. Riesgos Costos'!$J$71+1)</f>
        <v>54000</v>
      </c>
      <c r="N144" s="203">
        <f t="shared" si="27"/>
        <v>60000</v>
      </c>
      <c r="O144" s="49">
        <f>+N144*('Jerarq. Riesgos Costos'!$K$78+1)</f>
        <v>74924.438635122235</v>
      </c>
      <c r="P144" s="29"/>
      <c r="Q144" s="4">
        <f t="shared" si="28"/>
        <v>0.1</v>
      </c>
      <c r="R144" s="263">
        <f>+Q144*('Jerarq. Riesgos Plazo'!$M$67+1)</f>
        <v>0.13774793348724601</v>
      </c>
      <c r="S144" s="34">
        <f>+T144*(-'Jerarq. Riesgos Costos'!$P$76+1)</f>
        <v>54000</v>
      </c>
      <c r="T144" s="203">
        <f t="shared" si="24"/>
        <v>60000</v>
      </c>
      <c r="U144" s="34">
        <f>+T144*('Jerarq. Riesgos Costos'!$Q$76+1)</f>
        <v>75897.754540488924</v>
      </c>
      <c r="V144" s="29"/>
      <c r="W144" s="4">
        <v>0.1</v>
      </c>
      <c r="X144" s="256">
        <f>+W144*('Jerarq. Riesgos Plazo'!$M$65/100+1)</f>
        <v>0.10011953689982207</v>
      </c>
      <c r="Y144" s="29"/>
      <c r="Z144" s="4"/>
      <c r="AA144" s="30"/>
      <c r="AB144" s="29"/>
      <c r="AC144" s="4">
        <v>0.1</v>
      </c>
      <c r="AD144" s="256">
        <f>+AC144*('Jerarq. Riesgos Plazo'!$M$65/100+1)</f>
        <v>0.10011953689982207</v>
      </c>
      <c r="AE144" s="29"/>
      <c r="AF144" s="4"/>
      <c r="AG144" s="30"/>
    </row>
    <row r="145" spans="2:33" ht="18" hidden="1" x14ac:dyDescent="0.25">
      <c r="B145" s="335" t="s">
        <v>518</v>
      </c>
      <c r="C145" s="115" t="s">
        <v>784</v>
      </c>
      <c r="D145" s="112" t="s">
        <v>666</v>
      </c>
      <c r="E145" s="113" t="s">
        <v>472</v>
      </c>
      <c r="F145" s="113">
        <v>15</v>
      </c>
      <c r="G145" s="265">
        <v>0.1</v>
      </c>
      <c r="H145" s="114">
        <v>25000</v>
      </c>
      <c r="I145" s="325">
        <f t="shared" si="26"/>
        <v>375000</v>
      </c>
      <c r="J145" s="29"/>
      <c r="K145" s="4">
        <v>0.1</v>
      </c>
      <c r="L145" s="294">
        <f>+K145*('Jerarq. Riesgos Plazo'!$M$65+1)</f>
        <v>0.11195368998220752</v>
      </c>
      <c r="M145" s="64">
        <f>+N145*(-'Jerarq. Riesgos Costos'!$J$71+1)</f>
        <v>337500</v>
      </c>
      <c r="N145" s="203">
        <f t="shared" si="27"/>
        <v>375000</v>
      </c>
      <c r="O145" s="49">
        <f>+N145*('Jerarq. Riesgos Costos'!$K$78+1)</f>
        <v>468277.74146951397</v>
      </c>
      <c r="P145" s="29"/>
      <c r="Q145" s="4">
        <f t="shared" si="28"/>
        <v>0.1</v>
      </c>
      <c r="R145" s="263">
        <f>+Q145*('Jerarq. Riesgos Plazo'!$M$67+1)</f>
        <v>0.13774793348724601</v>
      </c>
      <c r="S145" s="34">
        <f>+T145*(-'Jerarq. Riesgos Costos'!$P$76+1)</f>
        <v>337500</v>
      </c>
      <c r="T145" s="203">
        <f t="shared" si="24"/>
        <v>375000</v>
      </c>
      <c r="U145" s="34">
        <f>+T145*('Jerarq. Riesgos Costos'!$Q$76+1)</f>
        <v>474360.96587805584</v>
      </c>
      <c r="V145" s="29"/>
      <c r="W145" s="4"/>
      <c r="X145" s="256"/>
      <c r="Y145" s="29"/>
      <c r="Z145" s="4"/>
      <c r="AA145" s="30"/>
      <c r="AB145" s="29"/>
      <c r="AC145" s="4"/>
      <c r="AD145" s="256"/>
      <c r="AE145" s="29"/>
      <c r="AF145" s="4"/>
      <c r="AG145" s="30"/>
    </row>
    <row r="146" spans="2:33" ht="18" hidden="1" x14ac:dyDescent="0.25">
      <c r="B146" s="335" t="s">
        <v>518</v>
      </c>
      <c r="C146" s="115" t="s">
        <v>785</v>
      </c>
      <c r="D146" s="112" t="s">
        <v>667</v>
      </c>
      <c r="E146" s="113" t="s">
        <v>472</v>
      </c>
      <c r="F146" s="113">
        <v>280</v>
      </c>
      <c r="G146" s="265">
        <v>2</v>
      </c>
      <c r="H146" s="114">
        <v>16000</v>
      </c>
      <c r="I146" s="325">
        <f t="shared" si="26"/>
        <v>4480000</v>
      </c>
      <c r="J146" s="29"/>
      <c r="K146" s="4">
        <v>2</v>
      </c>
      <c r="L146" s="294">
        <f>+K146*('Jerarq. Riesgos Plazo'!$M$65+1)</f>
        <v>2.2390737996441503</v>
      </c>
      <c r="M146" s="64">
        <f>+N146*(-'Jerarq. Riesgos Costos'!$J$71+1)</f>
        <v>4032000</v>
      </c>
      <c r="N146" s="203">
        <f t="shared" si="27"/>
        <v>4480000</v>
      </c>
      <c r="O146" s="49">
        <f>+N146*('Jerarq. Riesgos Costos'!$K$78+1)</f>
        <v>5594358.0847557932</v>
      </c>
      <c r="P146" s="29"/>
      <c r="Q146" s="4">
        <f t="shared" si="28"/>
        <v>2</v>
      </c>
      <c r="R146" s="263">
        <f>+Q146*('Jerarq. Riesgos Plazo'!$M$67+1)</f>
        <v>2.7549586697449202</v>
      </c>
      <c r="S146" s="34">
        <f>+T146*(-'Jerarq. Riesgos Costos'!$P$76+1)</f>
        <v>4032000</v>
      </c>
      <c r="T146" s="203">
        <f t="shared" si="24"/>
        <v>4480000</v>
      </c>
      <c r="U146" s="34">
        <f>+T146*('Jerarq. Riesgos Costos'!$Q$76+1)</f>
        <v>5667032.3390231738</v>
      </c>
      <c r="V146" s="29"/>
      <c r="W146" s="4"/>
      <c r="X146" s="256"/>
      <c r="Y146" s="29"/>
      <c r="Z146" s="4"/>
      <c r="AA146" s="30"/>
      <c r="AB146" s="29"/>
      <c r="AC146" s="4"/>
      <c r="AD146" s="256"/>
      <c r="AE146" s="29"/>
      <c r="AF146" s="4"/>
      <c r="AG146" s="30"/>
    </row>
    <row r="147" spans="2:33" ht="18" x14ac:dyDescent="0.25">
      <c r="B147" s="337" t="s">
        <v>552</v>
      </c>
      <c r="C147" s="251" t="s">
        <v>466</v>
      </c>
      <c r="D147" s="252" t="s">
        <v>807</v>
      </c>
      <c r="E147" s="253"/>
      <c r="F147" s="254"/>
      <c r="G147" s="261">
        <f>+SUM(G148)</f>
        <v>3</v>
      </c>
      <c r="H147" s="255"/>
      <c r="I147" s="262">
        <f>+SUM(I148)</f>
        <v>26600000</v>
      </c>
      <c r="J147" s="260">
        <v>2</v>
      </c>
      <c r="K147" s="261">
        <f>+SUM(K148)</f>
        <v>3</v>
      </c>
      <c r="L147" s="256">
        <f>+SUM(L148)</f>
        <v>3.3586106994662255</v>
      </c>
      <c r="M147" s="260">
        <f>+SUM(M148)</f>
        <v>23940000</v>
      </c>
      <c r="N147" s="261">
        <f>+SUM(N148)</f>
        <v>26600000</v>
      </c>
      <c r="O147" s="262">
        <f>+SUM(O148)</f>
        <v>33216501.128237523</v>
      </c>
      <c r="P147" s="260">
        <v>2</v>
      </c>
      <c r="Q147" s="261">
        <f t="shared" si="28"/>
        <v>3</v>
      </c>
      <c r="R147" s="262">
        <f>+Q147*('Jerarq. Riesgos Plazo'!$M$67+1)</f>
        <v>4.1324380046173808</v>
      </c>
      <c r="S147" s="260">
        <f>+SUM(S148)</f>
        <v>23940000</v>
      </c>
      <c r="T147" s="261">
        <f>+SUM(T148)</f>
        <v>26600000</v>
      </c>
      <c r="U147" s="262">
        <f>+SUM(U148)</f>
        <v>33648004.512950093</v>
      </c>
      <c r="V147" s="260">
        <v>2</v>
      </c>
      <c r="W147" s="261">
        <f>+SUM(W148)</f>
        <v>0</v>
      </c>
      <c r="X147" s="256">
        <f>+W147*('Jerarq. Riesgos Plazo'!$M$65/100+1)</f>
        <v>0</v>
      </c>
      <c r="Y147" s="260"/>
      <c r="Z147" s="261"/>
      <c r="AA147" s="262"/>
      <c r="AB147" s="260">
        <v>2</v>
      </c>
      <c r="AC147" s="261">
        <f>+SUM(AC148)</f>
        <v>0</v>
      </c>
      <c r="AD147" s="256">
        <f>+AC147*('Jerarq. Riesgos Plazo'!$M$65/100+1)</f>
        <v>0</v>
      </c>
      <c r="AE147" s="260"/>
      <c r="AF147" s="261"/>
      <c r="AG147" s="262"/>
    </row>
    <row r="148" spans="2:33" ht="17.25" hidden="1" customHeight="1" thickBot="1" x14ac:dyDescent="0.3">
      <c r="B148" s="326" t="s">
        <v>552</v>
      </c>
      <c r="C148" s="327" t="s">
        <v>786</v>
      </c>
      <c r="D148" s="328" t="s">
        <v>554</v>
      </c>
      <c r="E148" s="329" t="s">
        <v>555</v>
      </c>
      <c r="F148" s="330">
        <v>760</v>
      </c>
      <c r="G148" s="131">
        <v>3</v>
      </c>
      <c r="H148" s="331">
        <v>35000</v>
      </c>
      <c r="I148" s="332">
        <f t="shared" si="26"/>
        <v>26600000</v>
      </c>
      <c r="J148" s="130"/>
      <c r="K148" s="131">
        <v>3</v>
      </c>
      <c r="L148" s="295">
        <f>+K148*('Jerarq. Riesgos Plazo'!$M$65+1)</f>
        <v>3.3586106994662255</v>
      </c>
      <c r="M148" s="65">
        <f>+N148*(-'Jerarq. Riesgos Costos'!$J$71+1)</f>
        <v>23940000</v>
      </c>
      <c r="N148" s="291">
        <f>+I148</f>
        <v>26600000</v>
      </c>
      <c r="O148" s="53">
        <f>+N148*('Jerarq. Riesgos Costos'!$K$78+1)</f>
        <v>33216501.128237523</v>
      </c>
      <c r="P148" s="298"/>
      <c r="Q148" s="291">
        <f t="shared" si="28"/>
        <v>3</v>
      </c>
      <c r="R148" s="299">
        <f>+Q148*('Jerarq. Riesgos Plazo'!$M$67+1)</f>
        <v>4.1324380046173808</v>
      </c>
      <c r="S148" s="34">
        <f>+T148*(-'Jerarq. Riesgos Costos'!$P$78+1)</f>
        <v>23940000</v>
      </c>
      <c r="T148" s="203">
        <f t="shared" si="24"/>
        <v>26600000</v>
      </c>
      <c r="U148" s="34">
        <f>+T148*('Jerarq. Riesgos Costos'!$Q$78+1)</f>
        <v>33648004.512950093</v>
      </c>
    </row>
    <row r="149" spans="2:33" ht="21" thickBot="1" x14ac:dyDescent="0.35">
      <c r="B149" s="117"/>
      <c r="C149" s="118"/>
      <c r="D149" s="119" t="s">
        <v>369</v>
      </c>
      <c r="E149" s="120"/>
      <c r="F149" s="121"/>
      <c r="G149" s="333">
        <f>+G5+G10+G18+G23</f>
        <v>331.1</v>
      </c>
      <c r="H149" s="333"/>
      <c r="I149" s="334">
        <f>+I5+I10+I18+I23</f>
        <v>752038194.9399904</v>
      </c>
    </row>
    <row r="151" spans="2:33" x14ac:dyDescent="0.25">
      <c r="D151" t="s">
        <v>795</v>
      </c>
    </row>
    <row r="152" spans="2:33" x14ac:dyDescent="0.25">
      <c r="D152">
        <v>300000</v>
      </c>
    </row>
    <row r="153" spans="2:33" x14ac:dyDescent="0.25">
      <c r="D153">
        <v>650</v>
      </c>
    </row>
    <row r="154" spans="2:33" ht="18" x14ac:dyDescent="0.25">
      <c r="D154" s="325">
        <f>+D152*D153</f>
        <v>195000000</v>
      </c>
    </row>
    <row r="156" spans="2:33" x14ac:dyDescent="0.25">
      <c r="D156" t="s">
        <v>671</v>
      </c>
    </row>
  </sheetData>
  <mergeCells count="12">
    <mergeCell ref="AB3:AD3"/>
    <mergeCell ref="AE3:AG3"/>
    <mergeCell ref="J2:O2"/>
    <mergeCell ref="P2:U2"/>
    <mergeCell ref="V2:AA2"/>
    <mergeCell ref="AB2:AG2"/>
    <mergeCell ref="J3:L3"/>
    <mergeCell ref="M3:O3"/>
    <mergeCell ref="P3:R3"/>
    <mergeCell ref="S3:U3"/>
    <mergeCell ref="V3:X3"/>
    <mergeCell ref="Y3:AA3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F11"/>
  <sheetViews>
    <sheetView zoomScale="70" zoomScaleNormal="70" workbookViewId="0">
      <selection activeCell="R35" sqref="R35"/>
    </sheetView>
  </sheetViews>
  <sheetFormatPr baseColWidth="10" defaultRowHeight="15" x14ac:dyDescent="0.25"/>
  <cols>
    <col min="4" max="4" width="41.5703125" customWidth="1"/>
    <col min="6" max="6" width="13.85546875" bestFit="1" customWidth="1"/>
  </cols>
  <sheetData>
    <row r="4" spans="3:6" x14ac:dyDescent="0.25">
      <c r="C4" s="362" t="s">
        <v>830</v>
      </c>
      <c r="D4" s="362" t="s">
        <v>580</v>
      </c>
      <c r="E4" s="362" t="s">
        <v>831</v>
      </c>
      <c r="F4" s="362" t="s">
        <v>333</v>
      </c>
    </row>
    <row r="5" spans="3:6" ht="18" x14ac:dyDescent="0.25">
      <c r="C5" s="365">
        <v>1</v>
      </c>
      <c r="D5" s="364" t="s">
        <v>802</v>
      </c>
      <c r="E5" s="366">
        <v>23.2</v>
      </c>
      <c r="F5" s="366">
        <v>86399280</v>
      </c>
    </row>
    <row r="6" spans="3:6" ht="18" x14ac:dyDescent="0.25">
      <c r="C6" s="365">
        <f>+C5+1</f>
        <v>2</v>
      </c>
      <c r="D6" s="364" t="s">
        <v>673</v>
      </c>
      <c r="E6" s="366">
        <v>8.3000000000000007</v>
      </c>
      <c r="F6" s="366">
        <v>62823214.939990401</v>
      </c>
    </row>
    <row r="7" spans="3:6" ht="18" x14ac:dyDescent="0.25">
      <c r="C7" s="365">
        <f t="shared" ref="C7:C11" si="0">+C6+1</f>
        <v>3</v>
      </c>
      <c r="D7" s="364" t="s">
        <v>803</v>
      </c>
      <c r="E7" s="366">
        <v>18.8</v>
      </c>
      <c r="F7" s="366">
        <v>76633350</v>
      </c>
    </row>
    <row r="8" spans="3:6" ht="18" x14ac:dyDescent="0.25">
      <c r="C8" s="365">
        <f t="shared" si="0"/>
        <v>4</v>
      </c>
      <c r="D8" s="364" t="s">
        <v>804</v>
      </c>
      <c r="E8" s="366">
        <v>18.3</v>
      </c>
      <c r="F8" s="366">
        <v>71901400</v>
      </c>
    </row>
    <row r="9" spans="3:6" ht="18" x14ac:dyDescent="0.25">
      <c r="C9" s="365">
        <f t="shared" si="0"/>
        <v>5</v>
      </c>
      <c r="D9" s="364" t="s">
        <v>805</v>
      </c>
      <c r="E9" s="366">
        <v>10.399999999999999</v>
      </c>
      <c r="F9" s="366">
        <v>21943500</v>
      </c>
    </row>
    <row r="10" spans="3:6" ht="18" x14ac:dyDescent="0.25">
      <c r="C10" s="365">
        <f t="shared" si="0"/>
        <v>6</v>
      </c>
      <c r="D10" s="364" t="s">
        <v>806</v>
      </c>
      <c r="E10" s="366">
        <v>20.300000000000008</v>
      </c>
      <c r="F10" s="366">
        <v>97219050</v>
      </c>
    </row>
    <row r="11" spans="3:6" ht="18" x14ac:dyDescent="0.25">
      <c r="C11" s="365">
        <f t="shared" si="0"/>
        <v>7</v>
      </c>
      <c r="D11" s="364" t="s">
        <v>807</v>
      </c>
      <c r="E11" s="366">
        <v>3</v>
      </c>
      <c r="F11" s="366">
        <v>26600000</v>
      </c>
    </row>
  </sheetData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H8"/>
  <sheetViews>
    <sheetView topLeftCell="B1" workbookViewId="0">
      <selection activeCell="D16" sqref="D16"/>
    </sheetView>
  </sheetViews>
  <sheetFormatPr baseColWidth="10" defaultRowHeight="15" x14ac:dyDescent="0.25"/>
  <cols>
    <col min="5" max="5" width="15.85546875" customWidth="1"/>
    <col min="6" max="7" width="14.28515625" bestFit="1" customWidth="1"/>
  </cols>
  <sheetData>
    <row r="1" spans="3:8" x14ac:dyDescent="0.25">
      <c r="E1" t="s">
        <v>833</v>
      </c>
    </row>
    <row r="3" spans="3:8" x14ac:dyDescent="0.25">
      <c r="D3" s="453" t="s">
        <v>825</v>
      </c>
      <c r="E3" s="454"/>
      <c r="F3" s="454"/>
      <c r="G3" s="455"/>
    </row>
    <row r="4" spans="3:8" x14ac:dyDescent="0.25">
      <c r="C4" s="4"/>
      <c r="D4" s="371" t="s">
        <v>826</v>
      </c>
      <c r="E4" s="371" t="s">
        <v>837</v>
      </c>
      <c r="F4" s="371" t="s">
        <v>838</v>
      </c>
      <c r="G4" s="371" t="s">
        <v>839</v>
      </c>
    </row>
    <row r="5" spans="3:8" x14ac:dyDescent="0.25">
      <c r="C5" s="456" t="s">
        <v>824</v>
      </c>
      <c r="D5" s="4">
        <v>333</v>
      </c>
      <c r="E5" s="4">
        <v>359</v>
      </c>
      <c r="F5" s="4">
        <v>361</v>
      </c>
      <c r="G5" s="4">
        <v>366</v>
      </c>
    </row>
    <row r="6" spans="3:8" x14ac:dyDescent="0.25">
      <c r="C6" s="456" t="s">
        <v>832</v>
      </c>
      <c r="D6" s="34">
        <v>752038195</v>
      </c>
      <c r="E6" s="34">
        <v>817935947</v>
      </c>
      <c r="F6" s="34">
        <v>827321764</v>
      </c>
      <c r="G6" s="34">
        <v>812078180</v>
      </c>
    </row>
    <row r="7" spans="3:8" x14ac:dyDescent="0.25">
      <c r="C7" s="456" t="s">
        <v>834</v>
      </c>
      <c r="D7" s="452" t="s">
        <v>836</v>
      </c>
      <c r="E7" s="372">
        <f>+(E5-D5)/D5</f>
        <v>7.8078078078078081E-2</v>
      </c>
      <c r="F7" s="372">
        <f>+(F5-D5)/D5</f>
        <v>8.408408408408409E-2</v>
      </c>
      <c r="G7" s="372">
        <f>+(G5-D5)/D5</f>
        <v>9.90990990990991E-2</v>
      </c>
      <c r="H7" s="457">
        <f>+G7-E7</f>
        <v>2.1021021021021019E-2</v>
      </c>
    </row>
    <row r="8" spans="3:8" x14ac:dyDescent="0.25">
      <c r="C8" s="456" t="s">
        <v>835</v>
      </c>
      <c r="D8" s="452" t="s">
        <v>836</v>
      </c>
      <c r="E8" s="372">
        <f>+(E6-D6)/D6</f>
        <v>8.7625538753387383E-2</v>
      </c>
      <c r="F8" s="372">
        <f>+(F6-D6)/D6</f>
        <v>0.10010604448089236</v>
      </c>
      <c r="G8" s="372">
        <f>+(G6-D6)/D6</f>
        <v>7.9836350599187325E-2</v>
      </c>
      <c r="H8" s="457">
        <f>+F8-G8</f>
        <v>2.0269693881705034E-2</v>
      </c>
    </row>
  </sheetData>
  <mergeCells count="1">
    <mergeCell ref="D3:G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D2" zoomScale="85" zoomScaleNormal="85" workbookViewId="0">
      <selection activeCell="O30" sqref="O30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9"/>
  <sheetViews>
    <sheetView workbookViewId="0">
      <selection activeCell="C10" sqref="C10"/>
    </sheetView>
  </sheetViews>
  <sheetFormatPr baseColWidth="10" defaultRowHeight="15" x14ac:dyDescent="0.25"/>
  <cols>
    <col min="2" max="2" width="15.28515625" bestFit="1" customWidth="1"/>
    <col min="3" max="4" width="14" bestFit="1" customWidth="1"/>
    <col min="5" max="5" width="16.42578125" bestFit="1" customWidth="1"/>
  </cols>
  <sheetData>
    <row r="2" spans="2:11" x14ac:dyDescent="0.25">
      <c r="J2" t="s">
        <v>345</v>
      </c>
      <c r="K2">
        <v>26800</v>
      </c>
    </row>
    <row r="3" spans="2:11" x14ac:dyDescent="0.25">
      <c r="B3" s="4"/>
      <c r="C3" s="4" t="s">
        <v>344</v>
      </c>
      <c r="D3" s="4" t="s">
        <v>347</v>
      </c>
      <c r="E3" s="4" t="s">
        <v>348</v>
      </c>
      <c r="J3" t="s">
        <v>346</v>
      </c>
      <c r="K3">
        <v>640</v>
      </c>
    </row>
    <row r="4" spans="2:11" x14ac:dyDescent="0.25">
      <c r="B4" s="4" t="s">
        <v>339</v>
      </c>
      <c r="C4" s="4">
        <v>5</v>
      </c>
      <c r="D4" s="34">
        <f>+C4*$K$2</f>
        <v>134000</v>
      </c>
      <c r="E4" s="34">
        <f>+D4/$K$3</f>
        <v>209.375</v>
      </c>
    </row>
    <row r="5" spans="2:11" x14ac:dyDescent="0.25">
      <c r="B5" s="4" t="s">
        <v>338</v>
      </c>
      <c r="C5" s="4">
        <v>4</v>
      </c>
      <c r="D5" s="34">
        <f t="shared" ref="D5:D9" si="0">+C5*$K$2</f>
        <v>107200</v>
      </c>
      <c r="E5" s="34">
        <f t="shared" ref="E5:E9" si="1">+D5/$K$3</f>
        <v>167.5</v>
      </c>
    </row>
    <row r="6" spans="2:11" x14ac:dyDescent="0.25">
      <c r="B6" s="4" t="s">
        <v>340</v>
      </c>
      <c r="C6" s="4">
        <v>3</v>
      </c>
      <c r="D6" s="34">
        <f t="shared" si="0"/>
        <v>80400</v>
      </c>
      <c r="E6" s="34">
        <f t="shared" si="1"/>
        <v>125.625</v>
      </c>
    </row>
    <row r="7" spans="2:11" x14ac:dyDescent="0.25">
      <c r="B7" s="4" t="s">
        <v>341</v>
      </c>
      <c r="C7" s="4">
        <v>2.5</v>
      </c>
      <c r="D7" s="34">
        <f t="shared" si="0"/>
        <v>67000</v>
      </c>
      <c r="E7" s="34">
        <f t="shared" si="1"/>
        <v>104.6875</v>
      </c>
    </row>
    <row r="8" spans="2:11" x14ac:dyDescent="0.25">
      <c r="B8" s="4" t="s">
        <v>342</v>
      </c>
      <c r="C8" s="4">
        <v>2</v>
      </c>
      <c r="D8" s="34">
        <f t="shared" si="0"/>
        <v>53600</v>
      </c>
      <c r="E8" s="34">
        <f t="shared" si="1"/>
        <v>83.75</v>
      </c>
    </row>
    <row r="9" spans="2:11" x14ac:dyDescent="0.25">
      <c r="B9" s="4" t="s">
        <v>343</v>
      </c>
      <c r="C9" s="4">
        <v>2</v>
      </c>
      <c r="D9" s="34">
        <f t="shared" si="0"/>
        <v>53600</v>
      </c>
      <c r="E9" s="34">
        <f t="shared" si="1"/>
        <v>83.75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L12"/>
  <sheetViews>
    <sheetView zoomScale="115" zoomScaleNormal="115" workbookViewId="0">
      <selection activeCell="F12" sqref="F12"/>
    </sheetView>
  </sheetViews>
  <sheetFormatPr baseColWidth="10" defaultRowHeight="15" x14ac:dyDescent="0.25"/>
  <cols>
    <col min="8" max="8" width="7.140625" customWidth="1"/>
    <col min="9" max="9" width="12.140625" bestFit="1" customWidth="1"/>
    <col min="12" max="12" width="15" customWidth="1"/>
  </cols>
  <sheetData>
    <row r="1" spans="3:12" x14ac:dyDescent="0.25">
      <c r="C1" s="386" t="s">
        <v>323</v>
      </c>
      <c r="D1" s="386"/>
      <c r="G1" s="386" t="s">
        <v>324</v>
      </c>
      <c r="H1" s="386"/>
      <c r="I1" s="386"/>
    </row>
    <row r="2" spans="3:12" x14ac:dyDescent="0.25">
      <c r="C2" s="4" t="s">
        <v>331</v>
      </c>
      <c r="D2" s="4" t="s">
        <v>330</v>
      </c>
      <c r="G2" t="s">
        <v>331</v>
      </c>
      <c r="H2" t="s">
        <v>330</v>
      </c>
      <c r="I2" t="s">
        <v>325</v>
      </c>
      <c r="K2" t="s">
        <v>332</v>
      </c>
      <c r="L2" t="s">
        <v>333</v>
      </c>
    </row>
    <row r="3" spans="3:12" x14ac:dyDescent="0.25">
      <c r="C3" s="4">
        <v>1</v>
      </c>
      <c r="D3" s="4" t="s">
        <v>328</v>
      </c>
      <c r="G3" s="35">
        <v>1</v>
      </c>
      <c r="H3" t="s">
        <v>326</v>
      </c>
      <c r="I3" s="36">
        <v>100</v>
      </c>
      <c r="K3">
        <f>+C3*G3</f>
        <v>1</v>
      </c>
      <c r="L3" s="36">
        <f t="shared" ref="L3:L12" si="0">+C3*I3</f>
        <v>100</v>
      </c>
    </row>
    <row r="4" spans="3:12" x14ac:dyDescent="0.25">
      <c r="C4" s="4">
        <v>2</v>
      </c>
      <c r="D4" s="4" t="s">
        <v>329</v>
      </c>
      <c r="G4" s="35">
        <v>2</v>
      </c>
      <c r="H4" t="s">
        <v>326</v>
      </c>
      <c r="I4" s="36">
        <v>500</v>
      </c>
      <c r="K4">
        <f t="shared" ref="K4:K12" si="1">+C4*G4</f>
        <v>4</v>
      </c>
      <c r="L4" s="36">
        <f t="shared" si="0"/>
        <v>1000</v>
      </c>
    </row>
    <row r="5" spans="3:12" x14ac:dyDescent="0.25">
      <c r="C5" s="4">
        <v>3</v>
      </c>
      <c r="D5" s="4" t="s">
        <v>329</v>
      </c>
      <c r="G5" s="35">
        <v>5</v>
      </c>
      <c r="H5" t="s">
        <v>326</v>
      </c>
      <c r="I5" s="36">
        <v>1000</v>
      </c>
      <c r="K5">
        <f t="shared" si="1"/>
        <v>15</v>
      </c>
      <c r="L5" s="36">
        <f t="shared" si="0"/>
        <v>3000</v>
      </c>
    </row>
    <row r="6" spans="3:12" x14ac:dyDescent="0.25">
      <c r="C6" s="4">
        <v>4</v>
      </c>
      <c r="D6" s="4" t="s">
        <v>329</v>
      </c>
      <c r="G6" s="35">
        <v>10</v>
      </c>
      <c r="H6" t="s">
        <v>326</v>
      </c>
      <c r="I6" s="36">
        <v>5000</v>
      </c>
      <c r="K6">
        <f t="shared" si="1"/>
        <v>40</v>
      </c>
      <c r="L6" s="36">
        <f t="shared" si="0"/>
        <v>20000</v>
      </c>
    </row>
    <row r="7" spans="3:12" x14ac:dyDescent="0.25">
      <c r="C7" s="4">
        <v>5</v>
      </c>
      <c r="D7" s="4" t="s">
        <v>329</v>
      </c>
      <c r="G7" s="35">
        <v>1</v>
      </c>
      <c r="H7" t="s">
        <v>327</v>
      </c>
      <c r="I7" s="36">
        <v>50000</v>
      </c>
      <c r="K7">
        <f t="shared" si="1"/>
        <v>5</v>
      </c>
      <c r="L7" s="36">
        <f t="shared" si="0"/>
        <v>250000</v>
      </c>
    </row>
    <row r="8" spans="3:12" x14ac:dyDescent="0.25">
      <c r="C8" s="4">
        <v>10</v>
      </c>
      <c r="D8" s="4" t="s">
        <v>329</v>
      </c>
      <c r="G8" s="35">
        <v>2</v>
      </c>
      <c r="H8" t="s">
        <v>327</v>
      </c>
      <c r="I8" s="36">
        <v>100000</v>
      </c>
      <c r="K8">
        <f t="shared" si="1"/>
        <v>20</v>
      </c>
      <c r="L8" s="36">
        <f t="shared" si="0"/>
        <v>1000000</v>
      </c>
    </row>
    <row r="9" spans="3:12" x14ac:dyDescent="0.25">
      <c r="C9" s="4">
        <v>20</v>
      </c>
      <c r="D9" s="4" t="s">
        <v>329</v>
      </c>
      <c r="G9" s="35">
        <v>5</v>
      </c>
      <c r="H9" t="s">
        <v>327</v>
      </c>
      <c r="I9" s="36">
        <v>250000</v>
      </c>
      <c r="K9">
        <f t="shared" si="1"/>
        <v>100</v>
      </c>
      <c r="L9" s="36">
        <f t="shared" si="0"/>
        <v>5000000</v>
      </c>
    </row>
    <row r="10" spans="3:12" x14ac:dyDescent="0.25">
      <c r="C10" s="4">
        <v>30</v>
      </c>
      <c r="D10" s="4" t="s">
        <v>329</v>
      </c>
      <c r="G10" s="35">
        <v>10</v>
      </c>
      <c r="H10" t="s">
        <v>327</v>
      </c>
      <c r="I10" s="36">
        <v>500000</v>
      </c>
      <c r="K10">
        <f t="shared" si="1"/>
        <v>300</v>
      </c>
      <c r="L10" s="36">
        <f t="shared" si="0"/>
        <v>15000000</v>
      </c>
    </row>
    <row r="11" spans="3:12" x14ac:dyDescent="0.25">
      <c r="C11" s="4">
        <v>40</v>
      </c>
      <c r="D11" s="4" t="s">
        <v>329</v>
      </c>
      <c r="G11" s="35">
        <v>30</v>
      </c>
      <c r="H11" t="s">
        <v>327</v>
      </c>
      <c r="I11" s="36">
        <v>1000000</v>
      </c>
      <c r="K11">
        <f t="shared" si="1"/>
        <v>1200</v>
      </c>
      <c r="L11" s="36">
        <f t="shared" si="0"/>
        <v>40000000</v>
      </c>
    </row>
    <row r="12" spans="3:12" x14ac:dyDescent="0.25">
      <c r="C12" s="4">
        <v>50</v>
      </c>
      <c r="D12" s="4" t="s">
        <v>329</v>
      </c>
      <c r="G12" s="35">
        <v>50</v>
      </c>
      <c r="H12" t="s">
        <v>327</v>
      </c>
      <c r="I12" s="36">
        <v>5000000</v>
      </c>
      <c r="K12">
        <f t="shared" si="1"/>
        <v>2500</v>
      </c>
      <c r="L12" s="36">
        <f t="shared" si="0"/>
        <v>250000000</v>
      </c>
    </row>
  </sheetData>
  <mergeCells count="2">
    <mergeCell ref="C1:D1"/>
    <mergeCell ref="G1:I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470"/>
  <sheetViews>
    <sheetView topLeftCell="A170" zoomScale="85" zoomScaleNormal="85" workbookViewId="0">
      <selection activeCell="A249" sqref="A249"/>
    </sheetView>
  </sheetViews>
  <sheetFormatPr baseColWidth="10" defaultColWidth="9.140625" defaultRowHeight="12.75" x14ac:dyDescent="0.2"/>
  <cols>
    <col min="1" max="1" width="26.140625" style="5" customWidth="1"/>
    <col min="2" max="2" width="92.140625" style="5" customWidth="1"/>
    <col min="3" max="3" width="15.28515625" style="5" customWidth="1"/>
    <col min="4" max="4" width="16.28515625" style="5" customWidth="1"/>
    <col min="5" max="5" width="13.5703125" style="5" customWidth="1"/>
    <col min="6" max="6" width="13.7109375" style="5" customWidth="1"/>
    <col min="7" max="7" width="14.140625" style="5" customWidth="1"/>
    <col min="8" max="16384" width="9.140625" style="5"/>
  </cols>
  <sheetData>
    <row r="2" spans="1:7" ht="20.25" x14ac:dyDescent="0.3">
      <c r="B2" s="25" t="s">
        <v>313</v>
      </c>
      <c r="C2" s="23" t="s">
        <v>312</v>
      </c>
      <c r="D2" s="24" t="s">
        <v>311</v>
      </c>
      <c r="E2" s="23" t="s">
        <v>310</v>
      </c>
      <c r="F2" s="22" t="s">
        <v>309</v>
      </c>
      <c r="G2" s="22" t="s">
        <v>308</v>
      </c>
    </row>
    <row r="3" spans="1:7" ht="15.75" x14ac:dyDescent="0.25">
      <c r="B3" s="21"/>
      <c r="C3" s="7"/>
      <c r="D3" s="7"/>
      <c r="E3" s="7"/>
      <c r="F3" s="7"/>
      <c r="G3" s="7"/>
    </row>
    <row r="4" spans="1:7" ht="15.75" x14ac:dyDescent="0.25">
      <c r="B4" s="17" t="s">
        <v>307</v>
      </c>
      <c r="C4" s="7"/>
      <c r="D4" s="7"/>
      <c r="E4" s="7"/>
      <c r="F4" s="7"/>
      <c r="G4" s="7"/>
    </row>
    <row r="5" spans="1:7" ht="15.75" x14ac:dyDescent="0.25">
      <c r="A5" s="20" t="s">
        <v>301</v>
      </c>
      <c r="B5" s="10" t="s">
        <v>306</v>
      </c>
      <c r="C5" s="7"/>
      <c r="D5" s="7"/>
      <c r="E5" s="7"/>
      <c r="F5" s="7"/>
      <c r="G5" s="7"/>
    </row>
    <row r="6" spans="1:7" ht="15.75" x14ac:dyDescent="0.25">
      <c r="A6" s="20" t="s">
        <v>301</v>
      </c>
      <c r="B6" s="10" t="s">
        <v>305</v>
      </c>
      <c r="C6" s="7"/>
      <c r="D6" s="7"/>
      <c r="E6" s="7"/>
      <c r="F6" s="7"/>
      <c r="G6" s="7"/>
    </row>
    <row r="7" spans="1:7" ht="15.75" x14ac:dyDescent="0.25">
      <c r="A7" s="20" t="s">
        <v>301</v>
      </c>
      <c r="B7" s="10" t="s">
        <v>304</v>
      </c>
      <c r="C7" s="7"/>
      <c r="D7" s="7"/>
      <c r="E7" s="7"/>
      <c r="F7" s="7"/>
      <c r="G7" s="7"/>
    </row>
    <row r="8" spans="1:7" ht="15.75" x14ac:dyDescent="0.25">
      <c r="A8" s="20" t="s">
        <v>301</v>
      </c>
      <c r="B8" s="10" t="s">
        <v>303</v>
      </c>
      <c r="C8" s="15"/>
      <c r="D8" s="7"/>
      <c r="E8" s="7"/>
      <c r="F8" s="7"/>
      <c r="G8" s="7"/>
    </row>
    <row r="9" spans="1:7" ht="15.75" x14ac:dyDescent="0.25">
      <c r="A9" s="20" t="s">
        <v>301</v>
      </c>
      <c r="B9" s="10" t="s">
        <v>302</v>
      </c>
      <c r="C9" s="7"/>
      <c r="D9" s="7"/>
      <c r="E9" s="7"/>
      <c r="F9" s="7"/>
      <c r="G9" s="7"/>
    </row>
    <row r="10" spans="1:7" ht="15.75" x14ac:dyDescent="0.25">
      <c r="A10" s="20" t="s">
        <v>301</v>
      </c>
      <c r="B10" s="10" t="s">
        <v>300</v>
      </c>
      <c r="C10" s="15"/>
      <c r="D10" s="7"/>
      <c r="E10" s="7"/>
      <c r="F10" s="7"/>
      <c r="G10" s="7"/>
    </row>
    <row r="11" spans="1:7" ht="15.75" x14ac:dyDescent="0.25">
      <c r="A11" s="5" t="s">
        <v>301</v>
      </c>
      <c r="B11" s="10" t="s">
        <v>299</v>
      </c>
      <c r="C11" s="7"/>
      <c r="D11" s="7"/>
      <c r="E11" s="7"/>
      <c r="F11" s="7"/>
      <c r="G11" s="7"/>
    </row>
    <row r="12" spans="1:7" ht="15.75" x14ac:dyDescent="0.25">
      <c r="A12" s="5" t="s">
        <v>314</v>
      </c>
      <c r="B12" s="10" t="s">
        <v>298</v>
      </c>
      <c r="C12" s="15"/>
      <c r="D12" s="7"/>
      <c r="E12" s="7"/>
      <c r="F12" s="7"/>
      <c r="G12" s="7"/>
    </row>
    <row r="13" spans="1:7" ht="15.75" x14ac:dyDescent="0.25">
      <c r="A13" s="20" t="s">
        <v>8</v>
      </c>
      <c r="B13" s="10" t="s">
        <v>297</v>
      </c>
      <c r="C13" s="7"/>
      <c r="D13" s="7"/>
      <c r="E13" s="7"/>
      <c r="F13" s="7"/>
      <c r="G13" s="7"/>
    </row>
    <row r="14" spans="1:7" ht="15.75" x14ac:dyDescent="0.25">
      <c r="A14" s="20" t="s">
        <v>8</v>
      </c>
      <c r="B14" s="10" t="s">
        <v>296</v>
      </c>
      <c r="C14" s="7"/>
      <c r="D14" s="7"/>
      <c r="E14" s="7"/>
      <c r="F14" s="7"/>
      <c r="G14" s="7"/>
    </row>
    <row r="15" spans="1:7" ht="15.75" x14ac:dyDescent="0.25">
      <c r="A15" s="20" t="s">
        <v>8</v>
      </c>
      <c r="B15" s="10" t="s">
        <v>295</v>
      </c>
      <c r="C15" s="15"/>
      <c r="D15" s="7"/>
      <c r="E15" s="7"/>
      <c r="F15" s="7"/>
      <c r="G15" s="7"/>
    </row>
    <row r="16" spans="1:7" ht="15.75" x14ac:dyDescent="0.25">
      <c r="A16" s="20" t="s">
        <v>8</v>
      </c>
      <c r="B16" s="10" t="s">
        <v>294</v>
      </c>
      <c r="C16" s="7"/>
      <c r="D16" s="7"/>
      <c r="E16" s="7"/>
      <c r="F16" s="7"/>
      <c r="G16" s="7"/>
    </row>
    <row r="17" spans="1:7" ht="15.75" x14ac:dyDescent="0.25">
      <c r="A17" s="20" t="s">
        <v>301</v>
      </c>
      <c r="B17" s="10" t="s">
        <v>293</v>
      </c>
      <c r="C17" s="7"/>
      <c r="D17" s="7"/>
      <c r="E17" s="7"/>
      <c r="F17" s="7"/>
      <c r="G17" s="7"/>
    </row>
    <row r="18" spans="1:7" ht="15.75" x14ac:dyDescent="0.25">
      <c r="A18" s="5" t="s">
        <v>301</v>
      </c>
      <c r="B18" s="10" t="s">
        <v>292</v>
      </c>
      <c r="C18" s="7"/>
      <c r="D18" s="7"/>
      <c r="E18" s="7"/>
      <c r="F18" s="7"/>
      <c r="G18" s="7"/>
    </row>
    <row r="19" spans="1:7" ht="15.75" x14ac:dyDescent="0.25">
      <c r="A19" s="5" t="s">
        <v>301</v>
      </c>
      <c r="B19" s="10" t="s">
        <v>291</v>
      </c>
      <c r="C19" s="7"/>
      <c r="D19" s="7"/>
      <c r="E19" s="7"/>
      <c r="F19" s="7"/>
      <c r="G19" s="7"/>
    </row>
    <row r="20" spans="1:7" ht="32.25" customHeight="1" x14ac:dyDescent="0.25">
      <c r="A20" s="5" t="s">
        <v>301</v>
      </c>
      <c r="B20" s="10" t="s">
        <v>290</v>
      </c>
      <c r="C20" s="15"/>
      <c r="D20" s="7"/>
      <c r="E20" s="7"/>
      <c r="F20" s="7"/>
      <c r="G20" s="7"/>
    </row>
    <row r="21" spans="1:7" ht="15.75" x14ac:dyDescent="0.25">
      <c r="A21" s="5" t="s">
        <v>318</v>
      </c>
      <c r="B21" s="10" t="s">
        <v>289</v>
      </c>
      <c r="C21" s="15"/>
      <c r="D21" s="7"/>
      <c r="E21" s="7"/>
      <c r="F21" s="7"/>
      <c r="G21" s="7"/>
    </row>
    <row r="22" spans="1:7" ht="15.75" x14ac:dyDescent="0.25">
      <c r="B22" s="10"/>
      <c r="C22" s="15"/>
      <c r="D22" s="7"/>
      <c r="E22" s="7"/>
      <c r="F22" s="7"/>
      <c r="G22" s="7"/>
    </row>
    <row r="23" spans="1:7" x14ac:dyDescent="0.2">
      <c r="B23" s="12"/>
      <c r="C23" s="7"/>
      <c r="D23" s="7"/>
      <c r="E23" s="7"/>
      <c r="F23" s="7"/>
      <c r="G23" s="7"/>
    </row>
    <row r="24" spans="1:7" ht="15.75" x14ac:dyDescent="0.25">
      <c r="B24" s="17" t="s">
        <v>288</v>
      </c>
      <c r="C24" s="7"/>
      <c r="D24" s="7"/>
      <c r="E24" s="7"/>
      <c r="F24" s="7"/>
      <c r="G24" s="7"/>
    </row>
    <row r="25" spans="1:7" ht="15.75" x14ac:dyDescent="0.25">
      <c r="A25" s="5" t="s">
        <v>301</v>
      </c>
      <c r="B25" s="13" t="s">
        <v>287</v>
      </c>
      <c r="C25" s="8"/>
      <c r="D25" s="7"/>
      <c r="E25" s="7"/>
      <c r="F25" s="7"/>
      <c r="G25" s="7"/>
    </row>
    <row r="26" spans="1:7" ht="15.75" x14ac:dyDescent="0.25">
      <c r="A26" s="5" t="s">
        <v>319</v>
      </c>
      <c r="B26" s="13" t="s">
        <v>286</v>
      </c>
      <c r="C26" s="8"/>
      <c r="D26" s="7"/>
      <c r="E26" s="7"/>
      <c r="F26" s="7"/>
      <c r="G26" s="7"/>
    </row>
    <row r="27" spans="1:7" ht="15.75" x14ac:dyDescent="0.25">
      <c r="A27" s="5" t="s">
        <v>301</v>
      </c>
      <c r="B27" s="13" t="s">
        <v>285</v>
      </c>
      <c r="C27" s="7"/>
      <c r="D27" s="7"/>
      <c r="E27" s="7"/>
      <c r="F27" s="7"/>
      <c r="G27" s="7"/>
    </row>
    <row r="28" spans="1:7" ht="15.75" x14ac:dyDescent="0.25">
      <c r="A28" s="5" t="s">
        <v>319</v>
      </c>
      <c r="B28" s="13" t="s">
        <v>284</v>
      </c>
      <c r="C28" s="8"/>
      <c r="D28" s="7"/>
      <c r="E28" s="7"/>
      <c r="F28" s="7"/>
      <c r="G28" s="7"/>
    </row>
    <row r="29" spans="1:7" ht="15.75" x14ac:dyDescent="0.25">
      <c r="B29" s="13" t="s">
        <v>283</v>
      </c>
      <c r="C29" s="8"/>
      <c r="D29" s="7"/>
      <c r="E29" s="7"/>
      <c r="F29" s="7"/>
      <c r="G29" s="7"/>
    </row>
    <row r="31" spans="1:7" ht="15.75" x14ac:dyDescent="0.25">
      <c r="A31" s="5" t="s">
        <v>301</v>
      </c>
      <c r="B31" s="13" t="s">
        <v>282</v>
      </c>
      <c r="C31" s="7"/>
      <c r="D31" s="7"/>
      <c r="E31" s="7"/>
      <c r="F31" s="7"/>
      <c r="G31" s="7"/>
    </row>
    <row r="32" spans="1:7" ht="15.75" x14ac:dyDescent="0.25">
      <c r="A32" s="5" t="s">
        <v>11</v>
      </c>
      <c r="B32" s="13" t="s">
        <v>281</v>
      </c>
      <c r="C32" s="7"/>
      <c r="D32" s="7"/>
      <c r="E32" s="7"/>
      <c r="F32" s="7"/>
      <c r="G32" s="7"/>
    </row>
    <row r="33" spans="1:7" ht="15.75" x14ac:dyDescent="0.25">
      <c r="A33" s="5" t="s">
        <v>8</v>
      </c>
      <c r="B33" s="13" t="s">
        <v>280</v>
      </c>
      <c r="C33" s="7"/>
      <c r="D33" s="7"/>
      <c r="E33" s="7"/>
      <c r="F33" s="7"/>
      <c r="G33" s="7"/>
    </row>
    <row r="34" spans="1:7" ht="31.5" x14ac:dyDescent="0.25">
      <c r="A34" s="5" t="s">
        <v>8</v>
      </c>
      <c r="B34" s="19" t="s">
        <v>279</v>
      </c>
      <c r="C34" s="18"/>
      <c r="D34" s="7"/>
      <c r="E34" s="7"/>
      <c r="F34" s="7"/>
      <c r="G34" s="7"/>
    </row>
    <row r="35" spans="1:7" x14ac:dyDescent="0.2">
      <c r="B35" s="12"/>
      <c r="C35" s="7"/>
      <c r="D35" s="7"/>
      <c r="E35" s="7"/>
      <c r="F35" s="7"/>
      <c r="G35" s="7"/>
    </row>
    <row r="36" spans="1:7" ht="15.75" x14ac:dyDescent="0.25">
      <c r="B36" s="17" t="s">
        <v>278</v>
      </c>
      <c r="C36" s="7"/>
      <c r="D36" s="7"/>
      <c r="E36" s="7"/>
      <c r="F36" s="7"/>
      <c r="G36" s="7"/>
    </row>
    <row r="37" spans="1:7" ht="15.75" x14ac:dyDescent="0.25">
      <c r="A37" s="5" t="s">
        <v>301</v>
      </c>
      <c r="B37" s="13" t="s">
        <v>277</v>
      </c>
      <c r="C37" s="8"/>
      <c r="D37" s="7"/>
      <c r="E37" s="7"/>
      <c r="F37" s="7"/>
      <c r="G37" s="7"/>
    </row>
    <row r="38" spans="1:7" ht="15.75" x14ac:dyDescent="0.25">
      <c r="A38" s="5" t="s">
        <v>301</v>
      </c>
      <c r="B38" s="13" t="s">
        <v>276</v>
      </c>
      <c r="C38" s="8"/>
      <c r="D38" s="7"/>
      <c r="E38" s="7"/>
      <c r="F38" s="7"/>
      <c r="G38" s="7"/>
    </row>
    <row r="39" spans="1:7" ht="15.75" x14ac:dyDescent="0.25">
      <c r="A39" s="5" t="s">
        <v>301</v>
      </c>
      <c r="B39" s="10" t="s">
        <v>275</v>
      </c>
      <c r="C39" s="8"/>
      <c r="D39" s="7"/>
      <c r="E39" s="7"/>
      <c r="F39" s="7"/>
      <c r="G39" s="7"/>
    </row>
    <row r="40" spans="1:7" ht="15.75" x14ac:dyDescent="0.25">
      <c r="A40" s="5" t="s">
        <v>301</v>
      </c>
      <c r="B40" s="10" t="s">
        <v>274</v>
      </c>
      <c r="C40" s="7"/>
      <c r="D40" s="7"/>
      <c r="E40" s="7"/>
      <c r="F40" s="7"/>
      <c r="G40" s="7"/>
    </row>
    <row r="41" spans="1:7" ht="15.75" x14ac:dyDescent="0.25">
      <c r="A41" s="5" t="s">
        <v>301</v>
      </c>
      <c r="B41" s="13" t="s">
        <v>273</v>
      </c>
      <c r="C41" s="7"/>
      <c r="D41" s="7"/>
      <c r="E41" s="7"/>
      <c r="F41" s="7"/>
      <c r="G41" s="7"/>
    </row>
    <row r="42" spans="1:7" ht="15.75" x14ac:dyDescent="0.25">
      <c r="A42" s="5" t="s">
        <v>320</v>
      </c>
      <c r="B42" s="13" t="s">
        <v>272</v>
      </c>
      <c r="C42" s="7"/>
      <c r="D42" s="7"/>
      <c r="E42" s="7"/>
      <c r="F42" s="7"/>
      <c r="G42" s="7"/>
    </row>
    <row r="43" spans="1:7" ht="15.75" x14ac:dyDescent="0.25">
      <c r="A43" s="5" t="s">
        <v>301</v>
      </c>
      <c r="B43" s="10" t="s">
        <v>271</v>
      </c>
      <c r="C43" s="7"/>
      <c r="D43" s="7"/>
      <c r="E43" s="7"/>
      <c r="F43" s="7"/>
      <c r="G43" s="7"/>
    </row>
    <row r="44" spans="1:7" ht="15.75" x14ac:dyDescent="0.25">
      <c r="A44" s="5" t="s">
        <v>301</v>
      </c>
      <c r="B44" s="10" t="s">
        <v>270</v>
      </c>
      <c r="C44" s="7"/>
      <c r="D44" s="7"/>
      <c r="E44" s="7"/>
      <c r="F44" s="7"/>
      <c r="G44" s="7"/>
    </row>
    <row r="45" spans="1:7" ht="15.75" x14ac:dyDescent="0.25">
      <c r="A45" s="5" t="s">
        <v>8</v>
      </c>
      <c r="B45" s="13" t="s">
        <v>269</v>
      </c>
      <c r="C45" s="8"/>
      <c r="D45" s="7"/>
      <c r="E45" s="7"/>
      <c r="F45" s="7"/>
      <c r="G45" s="7"/>
    </row>
    <row r="46" spans="1:7" ht="15.75" x14ac:dyDescent="0.25">
      <c r="A46" s="5" t="s">
        <v>8</v>
      </c>
      <c r="B46" s="13" t="s">
        <v>268</v>
      </c>
      <c r="C46" s="8"/>
      <c r="D46" s="7"/>
      <c r="E46" s="7"/>
      <c r="F46" s="7"/>
      <c r="G46" s="7"/>
    </row>
    <row r="47" spans="1:7" ht="15.75" x14ac:dyDescent="0.25">
      <c r="A47" s="5" t="s">
        <v>8</v>
      </c>
      <c r="B47" s="13" t="s">
        <v>267</v>
      </c>
      <c r="C47" s="7"/>
      <c r="D47" s="7"/>
      <c r="E47" s="7"/>
      <c r="F47" s="7"/>
      <c r="G47" s="7"/>
    </row>
    <row r="48" spans="1:7" ht="15.75" x14ac:dyDescent="0.25">
      <c r="A48" s="5" t="s">
        <v>301</v>
      </c>
      <c r="B48" s="10" t="s">
        <v>266</v>
      </c>
      <c r="C48" s="7"/>
      <c r="D48" s="7"/>
      <c r="E48" s="7"/>
      <c r="F48" s="7"/>
      <c r="G48" s="7"/>
    </row>
    <row r="49" spans="1:7" ht="15.75" x14ac:dyDescent="0.25">
      <c r="A49" s="5" t="s">
        <v>11</v>
      </c>
      <c r="B49" s="10" t="s">
        <v>265</v>
      </c>
      <c r="C49" s="7"/>
      <c r="D49" s="7"/>
      <c r="E49" s="7"/>
      <c r="F49" s="7"/>
      <c r="G49" s="7"/>
    </row>
    <row r="50" spans="1:7" ht="15.75" x14ac:dyDescent="0.25">
      <c r="A50" s="5" t="s">
        <v>301</v>
      </c>
      <c r="B50" s="13" t="s">
        <v>264</v>
      </c>
      <c r="C50" s="7"/>
      <c r="D50" s="7"/>
      <c r="E50" s="7"/>
      <c r="F50" s="7"/>
      <c r="G50" s="7"/>
    </row>
    <row r="51" spans="1:7" x14ac:dyDescent="0.2">
      <c r="B51" s="12"/>
      <c r="C51" s="7"/>
      <c r="D51" s="7"/>
      <c r="E51" s="7"/>
      <c r="F51" s="7"/>
      <c r="G51" s="7"/>
    </row>
    <row r="52" spans="1:7" x14ac:dyDescent="0.2">
      <c r="B52" s="12"/>
      <c r="C52" s="7"/>
      <c r="D52" s="7"/>
      <c r="E52" s="7"/>
      <c r="F52" s="7"/>
      <c r="G52" s="7"/>
    </row>
    <row r="53" spans="1:7" ht="15.75" x14ac:dyDescent="0.25">
      <c r="B53" s="17" t="s">
        <v>263</v>
      </c>
      <c r="C53" s="7"/>
      <c r="D53" s="7"/>
      <c r="E53" s="7"/>
      <c r="F53" s="7"/>
      <c r="G53" s="7"/>
    </row>
    <row r="54" spans="1:7" ht="15.75" x14ac:dyDescent="0.25">
      <c r="A54" s="5" t="s">
        <v>301</v>
      </c>
      <c r="B54" s="13" t="s">
        <v>262</v>
      </c>
      <c r="C54" s="8"/>
      <c r="D54" s="7"/>
      <c r="E54" s="7"/>
      <c r="F54" s="7"/>
      <c r="G54" s="7"/>
    </row>
    <row r="55" spans="1:7" ht="15.75" x14ac:dyDescent="0.25">
      <c r="A55" s="5" t="s">
        <v>301</v>
      </c>
      <c r="B55" s="10" t="s">
        <v>261</v>
      </c>
      <c r="C55" s="8"/>
      <c r="D55" s="7"/>
      <c r="E55" s="7"/>
      <c r="F55" s="7"/>
      <c r="G55" s="7"/>
    </row>
    <row r="56" spans="1:7" ht="15.75" x14ac:dyDescent="0.25">
      <c r="A56" s="5" t="s">
        <v>301</v>
      </c>
      <c r="B56" s="13" t="s">
        <v>260</v>
      </c>
      <c r="C56" s="7"/>
      <c r="D56" s="7"/>
      <c r="E56" s="7"/>
      <c r="F56" s="7"/>
      <c r="G56" s="7"/>
    </row>
    <row r="57" spans="1:7" x14ac:dyDescent="0.2">
      <c r="B57" s="12"/>
      <c r="C57" s="7"/>
      <c r="D57" s="7"/>
      <c r="E57" s="7"/>
      <c r="F57" s="7"/>
      <c r="G57" s="7"/>
    </row>
    <row r="58" spans="1:7" x14ac:dyDescent="0.2">
      <c r="B58" s="12"/>
      <c r="C58" s="7"/>
      <c r="D58" s="7"/>
      <c r="E58" s="7"/>
      <c r="F58" s="7"/>
      <c r="G58" s="7"/>
    </row>
    <row r="59" spans="1:7" ht="15.75" x14ac:dyDescent="0.25">
      <c r="B59" s="11" t="s">
        <v>259</v>
      </c>
      <c r="C59" s="7"/>
      <c r="D59" s="7"/>
      <c r="E59" s="7"/>
      <c r="F59" s="7"/>
      <c r="G59" s="7"/>
    </row>
    <row r="60" spans="1:7" ht="15.75" x14ac:dyDescent="0.25">
      <c r="A60" s="5" t="s">
        <v>301</v>
      </c>
      <c r="B60" s="10" t="s">
        <v>258</v>
      </c>
      <c r="C60" s="7"/>
      <c r="D60" s="14"/>
      <c r="E60" s="7"/>
      <c r="F60" s="7"/>
      <c r="G60" s="7"/>
    </row>
    <row r="61" spans="1:7" ht="15.75" x14ac:dyDescent="0.25">
      <c r="A61" s="5" t="s">
        <v>301</v>
      </c>
      <c r="B61" s="10" t="s">
        <v>257</v>
      </c>
      <c r="C61" s="7"/>
      <c r="D61" s="14"/>
      <c r="E61" s="7"/>
      <c r="F61" s="7"/>
      <c r="G61" s="7"/>
    </row>
    <row r="62" spans="1:7" ht="15.75" x14ac:dyDescent="0.25">
      <c r="A62" s="5" t="s">
        <v>301</v>
      </c>
      <c r="B62" s="10" t="s">
        <v>256</v>
      </c>
      <c r="C62" s="7"/>
      <c r="D62" s="14"/>
      <c r="E62" s="7"/>
      <c r="F62" s="7"/>
      <c r="G62" s="7"/>
    </row>
    <row r="63" spans="1:7" ht="15.75" x14ac:dyDescent="0.25">
      <c r="A63" s="5" t="s">
        <v>301</v>
      </c>
      <c r="B63" s="10" t="s">
        <v>255</v>
      </c>
      <c r="C63" s="7"/>
      <c r="D63" s="14"/>
      <c r="E63" s="7"/>
      <c r="F63" s="7"/>
      <c r="G63" s="7"/>
    </row>
    <row r="64" spans="1:7" ht="15.75" x14ac:dyDescent="0.25">
      <c r="A64" s="5" t="s">
        <v>301</v>
      </c>
      <c r="B64" s="10" t="s">
        <v>254</v>
      </c>
      <c r="C64" s="7"/>
      <c r="D64" s="14"/>
      <c r="E64" s="7"/>
      <c r="F64" s="7"/>
      <c r="G64" s="7"/>
    </row>
    <row r="65" spans="1:7" ht="15.75" x14ac:dyDescent="0.25">
      <c r="A65" s="5" t="s">
        <v>301</v>
      </c>
      <c r="B65" s="10" t="s">
        <v>253</v>
      </c>
      <c r="C65" s="7"/>
      <c r="D65" s="16"/>
      <c r="E65" s="7"/>
      <c r="F65" s="7"/>
      <c r="G65" s="7"/>
    </row>
    <row r="66" spans="1:7" ht="15.75" x14ac:dyDescent="0.25">
      <c r="B66" s="10"/>
      <c r="C66" s="7"/>
      <c r="D66" s="14"/>
      <c r="E66" s="7"/>
      <c r="F66" s="7"/>
      <c r="G66" s="7"/>
    </row>
    <row r="67" spans="1:7" ht="15.75" x14ac:dyDescent="0.25">
      <c r="B67" s="11" t="s">
        <v>252</v>
      </c>
      <c r="C67" s="7"/>
      <c r="D67" s="14"/>
      <c r="E67" s="7"/>
      <c r="F67" s="7"/>
      <c r="G67" s="7"/>
    </row>
    <row r="68" spans="1:7" ht="15.75" x14ac:dyDescent="0.25">
      <c r="B68" s="10" t="s">
        <v>251</v>
      </c>
      <c r="C68" s="7"/>
      <c r="D68" s="14"/>
      <c r="E68" s="7"/>
      <c r="F68" s="7"/>
      <c r="G68" s="7"/>
    </row>
    <row r="69" spans="1:7" ht="15.75" x14ac:dyDescent="0.25">
      <c r="B69" s="10" t="s">
        <v>250</v>
      </c>
      <c r="C69" s="8"/>
      <c r="D69" s="14"/>
      <c r="E69" s="7"/>
      <c r="F69" s="7"/>
      <c r="G69" s="7"/>
    </row>
    <row r="70" spans="1:7" ht="15.75" x14ac:dyDescent="0.25">
      <c r="B70" s="10" t="s">
        <v>249</v>
      </c>
      <c r="C70" s="8"/>
      <c r="D70" s="14"/>
      <c r="E70" s="7"/>
      <c r="F70" s="7"/>
      <c r="G70" s="7"/>
    </row>
    <row r="71" spans="1:7" ht="15.75" x14ac:dyDescent="0.25">
      <c r="B71" s="10" t="s">
        <v>248</v>
      </c>
      <c r="C71" s="8"/>
      <c r="D71" s="14"/>
      <c r="E71" s="7"/>
      <c r="F71" s="7"/>
      <c r="G71" s="7"/>
    </row>
    <row r="72" spans="1:7" ht="15.75" x14ac:dyDescent="0.25">
      <c r="B72" s="10" t="s">
        <v>247</v>
      </c>
      <c r="C72" s="8"/>
      <c r="D72" s="14"/>
      <c r="E72" s="7"/>
      <c r="F72" s="7"/>
      <c r="G72" s="7"/>
    </row>
    <row r="73" spans="1:7" ht="15.75" x14ac:dyDescent="0.25">
      <c r="B73" s="10" t="s">
        <v>246</v>
      </c>
      <c r="C73" s="8"/>
      <c r="D73" s="14"/>
      <c r="E73" s="7"/>
      <c r="F73" s="7"/>
      <c r="G73" s="7"/>
    </row>
    <row r="74" spans="1:7" ht="15.75" x14ac:dyDescent="0.25">
      <c r="B74" s="10" t="s">
        <v>245</v>
      </c>
      <c r="C74" s="8"/>
      <c r="D74" s="14"/>
      <c r="E74" s="7"/>
      <c r="F74" s="7"/>
      <c r="G74" s="7"/>
    </row>
    <row r="75" spans="1:7" ht="15.75" x14ac:dyDescent="0.25">
      <c r="B75" s="10" t="s">
        <v>244</v>
      </c>
      <c r="C75" s="8"/>
      <c r="D75" s="14"/>
      <c r="E75" s="7"/>
      <c r="F75" s="7"/>
      <c r="G75" s="7"/>
    </row>
    <row r="76" spans="1:7" ht="15.75" x14ac:dyDescent="0.25">
      <c r="B76" s="10" t="s">
        <v>243</v>
      </c>
      <c r="C76" s="8"/>
      <c r="D76" s="14"/>
      <c r="E76" s="7"/>
      <c r="F76" s="7"/>
      <c r="G76" s="7"/>
    </row>
    <row r="77" spans="1:7" ht="15.75" x14ac:dyDescent="0.25">
      <c r="B77" s="10" t="s">
        <v>242</v>
      </c>
      <c r="C77" s="7"/>
      <c r="D77" s="14"/>
      <c r="E77" s="7"/>
      <c r="F77" s="7"/>
      <c r="G77" s="7"/>
    </row>
    <row r="78" spans="1:7" ht="15.75" x14ac:dyDescent="0.25">
      <c r="B78" s="10" t="s">
        <v>241</v>
      </c>
      <c r="C78" s="8"/>
      <c r="D78" s="14"/>
      <c r="E78" s="7"/>
      <c r="F78" s="7"/>
      <c r="G78" s="7"/>
    </row>
    <row r="79" spans="1:7" ht="15.75" x14ac:dyDescent="0.25">
      <c r="B79" s="12"/>
      <c r="C79" s="7"/>
      <c r="D79" s="14"/>
      <c r="E79" s="7"/>
      <c r="F79" s="7"/>
      <c r="G79" s="7"/>
    </row>
    <row r="80" spans="1:7" ht="15.75" x14ac:dyDescent="0.25">
      <c r="B80" s="11" t="s">
        <v>240</v>
      </c>
      <c r="C80" s="7"/>
      <c r="D80" s="14"/>
      <c r="E80" s="7"/>
      <c r="F80" s="7"/>
      <c r="G80" s="7"/>
    </row>
    <row r="81" spans="2:7" ht="15.75" x14ac:dyDescent="0.25">
      <c r="B81" s="10" t="s">
        <v>239</v>
      </c>
      <c r="C81" s="7"/>
      <c r="D81" s="14"/>
      <c r="E81" s="7"/>
      <c r="F81" s="7"/>
      <c r="G81" s="7"/>
    </row>
    <row r="82" spans="2:7" ht="15.75" x14ac:dyDescent="0.25">
      <c r="B82" s="10" t="s">
        <v>238</v>
      </c>
      <c r="C82" s="7"/>
      <c r="D82" s="14"/>
      <c r="E82" s="7"/>
      <c r="F82" s="7"/>
      <c r="G82" s="7"/>
    </row>
    <row r="83" spans="2:7" ht="15.75" x14ac:dyDescent="0.25">
      <c r="B83" s="10" t="s">
        <v>237</v>
      </c>
      <c r="C83" s="7"/>
      <c r="D83" s="14"/>
      <c r="E83" s="7"/>
      <c r="F83" s="7"/>
      <c r="G83" s="7"/>
    </row>
    <row r="84" spans="2:7" ht="15.75" x14ac:dyDescent="0.25">
      <c r="B84" s="10" t="s">
        <v>236</v>
      </c>
      <c r="C84" s="7"/>
      <c r="D84" s="14"/>
      <c r="E84" s="7"/>
      <c r="F84" s="7"/>
      <c r="G84" s="7"/>
    </row>
    <row r="85" spans="2:7" ht="15.75" x14ac:dyDescent="0.25">
      <c r="B85" s="10" t="s">
        <v>235</v>
      </c>
      <c r="C85" s="7"/>
      <c r="D85" s="14"/>
      <c r="E85" s="7"/>
      <c r="F85" s="7"/>
      <c r="G85" s="7"/>
    </row>
    <row r="86" spans="2:7" ht="15.75" x14ac:dyDescent="0.25">
      <c r="B86" s="10" t="s">
        <v>234</v>
      </c>
      <c r="C86" s="7"/>
      <c r="D86" s="14"/>
      <c r="E86" s="7"/>
      <c r="F86" s="7"/>
      <c r="G86" s="7"/>
    </row>
    <row r="87" spans="2:7" ht="15.75" x14ac:dyDescent="0.25">
      <c r="B87" s="10" t="s">
        <v>233</v>
      </c>
      <c r="C87" s="7"/>
      <c r="D87" s="14"/>
      <c r="E87" s="7"/>
      <c r="F87" s="7"/>
      <c r="G87" s="7"/>
    </row>
    <row r="88" spans="2:7" x14ac:dyDescent="0.2">
      <c r="B88" s="12"/>
      <c r="C88" s="7"/>
      <c r="D88" s="7"/>
      <c r="E88" s="7"/>
      <c r="F88" s="7"/>
      <c r="G88" s="7"/>
    </row>
    <row r="89" spans="2:7" ht="15.75" x14ac:dyDescent="0.25">
      <c r="B89" s="11" t="s">
        <v>232</v>
      </c>
      <c r="C89" s="7"/>
      <c r="D89" s="14"/>
      <c r="E89" s="7"/>
      <c r="F89" s="7"/>
      <c r="G89" s="7"/>
    </row>
    <row r="90" spans="2:7" ht="15.75" x14ac:dyDescent="0.25">
      <c r="B90" s="10" t="s">
        <v>231</v>
      </c>
      <c r="C90" s="8"/>
      <c r="D90" s="14"/>
      <c r="E90" s="7"/>
      <c r="F90" s="7"/>
      <c r="G90" s="7"/>
    </row>
    <row r="91" spans="2:7" ht="15.75" x14ac:dyDescent="0.25">
      <c r="B91" s="10" t="s">
        <v>230</v>
      </c>
      <c r="C91" s="8"/>
      <c r="D91" s="14"/>
      <c r="E91" s="7"/>
      <c r="F91" s="7"/>
      <c r="G91" s="7"/>
    </row>
    <row r="92" spans="2:7" ht="15.75" x14ac:dyDescent="0.25">
      <c r="B92" s="10" t="s">
        <v>229</v>
      </c>
      <c r="C92" s="7"/>
      <c r="D92" s="7"/>
      <c r="E92" s="7"/>
      <c r="F92" s="7"/>
      <c r="G92" s="7"/>
    </row>
    <row r="93" spans="2:7" ht="15.75" x14ac:dyDescent="0.25">
      <c r="B93" s="10" t="s">
        <v>228</v>
      </c>
      <c r="C93" s="7"/>
      <c r="D93" s="7"/>
      <c r="E93" s="7"/>
      <c r="F93" s="7"/>
      <c r="G93" s="7"/>
    </row>
    <row r="94" spans="2:7" ht="15.75" x14ac:dyDescent="0.25">
      <c r="B94" s="10" t="s">
        <v>227</v>
      </c>
      <c r="C94" s="7"/>
      <c r="D94" s="14"/>
      <c r="E94" s="7"/>
      <c r="F94" s="7"/>
      <c r="G94" s="7"/>
    </row>
    <row r="95" spans="2:7" ht="15.75" x14ac:dyDescent="0.25">
      <c r="B95" s="10" t="s">
        <v>226</v>
      </c>
      <c r="C95" s="7"/>
      <c r="D95" s="16"/>
      <c r="E95" s="7"/>
      <c r="F95" s="7"/>
      <c r="G95" s="7"/>
    </row>
    <row r="96" spans="2:7" ht="15.75" x14ac:dyDescent="0.25">
      <c r="B96" s="10"/>
      <c r="C96" s="7"/>
      <c r="D96" s="7"/>
      <c r="E96" s="7"/>
      <c r="F96" s="7"/>
      <c r="G96" s="7"/>
    </row>
    <row r="97" spans="2:7" ht="15.75" x14ac:dyDescent="0.25">
      <c r="B97" s="11" t="s">
        <v>225</v>
      </c>
      <c r="C97" s="7"/>
      <c r="D97" s="7"/>
      <c r="E97" s="7"/>
      <c r="F97" s="7"/>
      <c r="G97" s="7"/>
    </row>
    <row r="98" spans="2:7" ht="15.75" x14ac:dyDescent="0.25">
      <c r="B98" s="10" t="s">
        <v>224</v>
      </c>
      <c r="C98" s="8"/>
      <c r="D98" s="7"/>
      <c r="E98" s="7"/>
      <c r="F98" s="7"/>
      <c r="G98" s="7"/>
    </row>
    <row r="99" spans="2:7" ht="15.75" x14ac:dyDescent="0.25">
      <c r="B99" s="10" t="s">
        <v>223</v>
      </c>
      <c r="C99" s="8"/>
      <c r="D99" s="7"/>
      <c r="E99" s="7"/>
      <c r="F99" s="7"/>
      <c r="G99" s="7"/>
    </row>
    <row r="100" spans="2:7" ht="15.75" x14ac:dyDescent="0.25">
      <c r="B100" s="10" t="s">
        <v>222</v>
      </c>
      <c r="C100" s="8"/>
      <c r="D100" s="7"/>
      <c r="E100" s="7"/>
      <c r="F100" s="7"/>
      <c r="G100" s="7"/>
    </row>
    <row r="101" spans="2:7" ht="15.75" x14ac:dyDescent="0.25">
      <c r="B101" s="10"/>
      <c r="C101" s="7"/>
      <c r="D101" s="7"/>
      <c r="E101" s="7"/>
      <c r="F101" s="7"/>
      <c r="G101" s="7"/>
    </row>
    <row r="102" spans="2:7" ht="15.75" x14ac:dyDescent="0.25">
      <c r="B102" s="11" t="s">
        <v>221</v>
      </c>
      <c r="C102" s="7"/>
      <c r="D102" s="7"/>
      <c r="E102" s="7"/>
      <c r="F102" s="7"/>
      <c r="G102" s="7"/>
    </row>
    <row r="103" spans="2:7" ht="15.75" x14ac:dyDescent="0.25">
      <c r="B103" s="10" t="s">
        <v>220</v>
      </c>
      <c r="C103" s="8"/>
      <c r="D103" s="7"/>
      <c r="E103" s="7"/>
      <c r="F103" s="7"/>
      <c r="G103" s="7"/>
    </row>
    <row r="104" spans="2:7" ht="15.75" x14ac:dyDescent="0.25">
      <c r="B104" s="10" t="s">
        <v>219</v>
      </c>
      <c r="C104" s="7"/>
      <c r="D104" s="7"/>
      <c r="E104" s="7"/>
      <c r="F104" s="7"/>
      <c r="G104" s="7"/>
    </row>
    <row r="105" spans="2:7" ht="15.75" x14ac:dyDescent="0.25">
      <c r="B105" s="10" t="s">
        <v>218</v>
      </c>
      <c r="C105" s="7"/>
      <c r="D105" s="7"/>
      <c r="E105" s="7"/>
      <c r="F105" s="7"/>
      <c r="G105" s="7"/>
    </row>
    <row r="106" spans="2:7" ht="15.75" x14ac:dyDescent="0.25">
      <c r="B106" s="10" t="s">
        <v>217</v>
      </c>
      <c r="C106" s="7"/>
      <c r="D106" s="7"/>
      <c r="E106" s="7"/>
      <c r="F106" s="7"/>
      <c r="G106" s="7"/>
    </row>
    <row r="107" spans="2:7" ht="15.75" x14ac:dyDescent="0.25">
      <c r="B107" s="10" t="s">
        <v>216</v>
      </c>
      <c r="C107" s="7"/>
      <c r="D107" s="7"/>
      <c r="E107" s="7"/>
      <c r="F107" s="7"/>
      <c r="G107" s="7"/>
    </row>
    <row r="108" spans="2:7" ht="15.75" x14ac:dyDescent="0.25">
      <c r="B108" s="10" t="s">
        <v>215</v>
      </c>
      <c r="C108" s="7"/>
      <c r="D108" s="7"/>
      <c r="E108" s="7"/>
      <c r="F108" s="7"/>
      <c r="G108" s="7"/>
    </row>
    <row r="109" spans="2:7" ht="15.75" x14ac:dyDescent="0.25">
      <c r="B109" s="10" t="s">
        <v>214</v>
      </c>
      <c r="C109" s="7"/>
      <c r="D109" s="7"/>
      <c r="E109" s="7"/>
      <c r="F109" s="7"/>
      <c r="G109" s="7"/>
    </row>
    <row r="110" spans="2:7" ht="15.75" x14ac:dyDescent="0.25">
      <c r="B110" s="10" t="s">
        <v>213</v>
      </c>
      <c r="C110" s="7"/>
      <c r="D110" s="7"/>
      <c r="E110" s="7"/>
      <c r="F110" s="7"/>
      <c r="G110" s="7"/>
    </row>
    <row r="111" spans="2:7" ht="15.75" x14ac:dyDescent="0.25">
      <c r="B111" s="10" t="s">
        <v>212</v>
      </c>
      <c r="C111" s="7"/>
      <c r="D111" s="7"/>
      <c r="E111" s="7"/>
      <c r="F111" s="7"/>
      <c r="G111" s="7"/>
    </row>
    <row r="112" spans="2:7" ht="15.75" x14ac:dyDescent="0.25">
      <c r="B112" s="10" t="s">
        <v>211</v>
      </c>
      <c r="C112" s="8"/>
      <c r="D112" s="7"/>
      <c r="E112" s="7"/>
      <c r="F112" s="7"/>
      <c r="G112" s="7"/>
    </row>
    <row r="113" spans="2:7" ht="15.75" x14ac:dyDescent="0.25">
      <c r="B113" s="10"/>
      <c r="C113" s="7"/>
      <c r="D113" s="7"/>
      <c r="E113" s="7"/>
      <c r="F113" s="7"/>
      <c r="G113" s="7"/>
    </row>
    <row r="114" spans="2:7" ht="15.75" x14ac:dyDescent="0.25">
      <c r="B114" s="11" t="s">
        <v>210</v>
      </c>
      <c r="C114" s="7"/>
      <c r="D114" s="7"/>
      <c r="E114" s="7"/>
      <c r="F114" s="7"/>
      <c r="G114" s="7"/>
    </row>
    <row r="115" spans="2:7" ht="15.75" x14ac:dyDescent="0.25">
      <c r="B115" s="10" t="s">
        <v>209</v>
      </c>
      <c r="C115" s="7"/>
      <c r="D115" s="7"/>
      <c r="E115" s="7"/>
      <c r="F115" s="7"/>
      <c r="G115" s="7"/>
    </row>
    <row r="116" spans="2:7" ht="15.75" x14ac:dyDescent="0.25">
      <c r="B116" s="10" t="s">
        <v>208</v>
      </c>
      <c r="C116" s="7"/>
      <c r="D116" s="7"/>
      <c r="E116" s="7"/>
      <c r="F116" s="7"/>
      <c r="G116" s="7"/>
    </row>
    <row r="117" spans="2:7" ht="15.75" x14ac:dyDescent="0.25">
      <c r="B117" s="10" t="s">
        <v>207</v>
      </c>
      <c r="C117" s="7"/>
      <c r="D117" s="7"/>
      <c r="E117" s="7"/>
      <c r="F117" s="7"/>
      <c r="G117" s="7"/>
    </row>
    <row r="118" spans="2:7" ht="15.75" x14ac:dyDescent="0.25">
      <c r="B118" s="10" t="s">
        <v>206</v>
      </c>
      <c r="C118" s="7"/>
      <c r="D118" s="7"/>
      <c r="E118" s="7"/>
      <c r="F118" s="7"/>
      <c r="G118" s="7"/>
    </row>
    <row r="119" spans="2:7" ht="31.5" x14ac:dyDescent="0.25">
      <c r="B119" s="10" t="s">
        <v>205</v>
      </c>
      <c r="C119" s="7"/>
      <c r="D119" s="7"/>
      <c r="E119" s="7"/>
      <c r="F119" s="7"/>
      <c r="G119" s="7"/>
    </row>
    <row r="120" spans="2:7" ht="15.75" x14ac:dyDescent="0.25">
      <c r="B120" s="10" t="s">
        <v>204</v>
      </c>
      <c r="C120" s="7"/>
      <c r="D120" s="7"/>
      <c r="E120" s="7"/>
      <c r="F120" s="7"/>
      <c r="G120" s="7"/>
    </row>
    <row r="121" spans="2:7" ht="15.75" x14ac:dyDescent="0.25">
      <c r="B121" s="10" t="s">
        <v>203</v>
      </c>
      <c r="C121" s="7"/>
      <c r="D121" s="7"/>
      <c r="E121" s="7"/>
      <c r="F121" s="7"/>
      <c r="G121" s="7"/>
    </row>
    <row r="122" spans="2:7" ht="31.5" x14ac:dyDescent="0.25">
      <c r="B122" s="10" t="s">
        <v>202</v>
      </c>
      <c r="C122" s="15"/>
      <c r="D122" s="15"/>
      <c r="E122" s="7"/>
      <c r="F122" s="7"/>
      <c r="G122" s="7"/>
    </row>
    <row r="123" spans="2:7" ht="15.75" x14ac:dyDescent="0.25">
      <c r="B123" s="10" t="s">
        <v>201</v>
      </c>
      <c r="C123" s="7"/>
      <c r="D123" s="7"/>
      <c r="E123" s="7"/>
      <c r="F123" s="7"/>
      <c r="G123" s="7"/>
    </row>
    <row r="124" spans="2:7" ht="15.75" x14ac:dyDescent="0.25">
      <c r="B124" s="10" t="s">
        <v>200</v>
      </c>
      <c r="C124" s="7"/>
      <c r="D124" s="7"/>
      <c r="E124" s="7"/>
      <c r="F124" s="7"/>
      <c r="G124" s="7"/>
    </row>
    <row r="125" spans="2:7" ht="15.75" x14ac:dyDescent="0.25">
      <c r="B125" s="10" t="s">
        <v>199</v>
      </c>
      <c r="C125" s="7"/>
      <c r="D125" s="7"/>
      <c r="E125" s="7"/>
      <c r="F125" s="7"/>
      <c r="G125" s="7"/>
    </row>
    <row r="126" spans="2:7" ht="15.75" x14ac:dyDescent="0.25">
      <c r="B126" s="10" t="s">
        <v>198</v>
      </c>
      <c r="C126" s="8"/>
      <c r="D126" s="7"/>
      <c r="E126" s="7"/>
      <c r="F126" s="7"/>
      <c r="G126" s="7"/>
    </row>
    <row r="127" spans="2:7" ht="15.75" x14ac:dyDescent="0.25">
      <c r="B127" s="10" t="s">
        <v>197</v>
      </c>
      <c r="C127" s="7"/>
      <c r="D127" s="7"/>
      <c r="E127" s="7"/>
      <c r="F127" s="7"/>
      <c r="G127" s="7"/>
    </row>
    <row r="128" spans="2:7" ht="15.75" x14ac:dyDescent="0.25">
      <c r="B128" s="10" t="s">
        <v>196</v>
      </c>
      <c r="C128" s="7"/>
      <c r="D128" s="7"/>
      <c r="E128" s="7"/>
      <c r="F128" s="7"/>
      <c r="G128" s="7"/>
    </row>
    <row r="129" spans="2:7" ht="15.75" x14ac:dyDescent="0.25">
      <c r="B129" s="10" t="s">
        <v>195</v>
      </c>
      <c r="C129" s="8"/>
      <c r="D129" s="7"/>
      <c r="E129" s="7"/>
      <c r="F129" s="7"/>
      <c r="G129" s="7"/>
    </row>
    <row r="130" spans="2:7" ht="15.75" x14ac:dyDescent="0.25">
      <c r="B130" s="10" t="s">
        <v>194</v>
      </c>
      <c r="C130" s="8"/>
      <c r="D130" s="7"/>
      <c r="E130" s="7"/>
      <c r="F130" s="7"/>
      <c r="G130" s="7"/>
    </row>
    <row r="131" spans="2:7" ht="15.75" x14ac:dyDescent="0.25">
      <c r="B131" s="10"/>
      <c r="C131" s="7"/>
      <c r="D131" s="7"/>
      <c r="E131" s="7"/>
      <c r="F131" s="7"/>
      <c r="G131" s="7"/>
    </row>
    <row r="132" spans="2:7" ht="15.75" x14ac:dyDescent="0.25">
      <c r="B132" s="11" t="s">
        <v>193</v>
      </c>
      <c r="C132" s="7"/>
      <c r="D132" s="7"/>
      <c r="E132" s="7"/>
      <c r="F132" s="7"/>
      <c r="G132" s="7"/>
    </row>
    <row r="133" spans="2:7" ht="15.75" x14ac:dyDescent="0.25">
      <c r="B133" s="10" t="s">
        <v>192</v>
      </c>
      <c r="C133" s="8"/>
      <c r="D133" s="7"/>
      <c r="E133" s="7"/>
      <c r="F133" s="7"/>
      <c r="G133" s="7"/>
    </row>
    <row r="134" spans="2:7" ht="15.75" x14ac:dyDescent="0.25">
      <c r="B134" s="10" t="s">
        <v>191</v>
      </c>
      <c r="C134" s="8"/>
      <c r="D134" s="7"/>
      <c r="E134" s="7"/>
      <c r="F134" s="7"/>
      <c r="G134" s="7"/>
    </row>
    <row r="135" spans="2:7" ht="15.75" x14ac:dyDescent="0.25">
      <c r="B135" s="10" t="s">
        <v>190</v>
      </c>
      <c r="C135" s="8"/>
      <c r="D135" s="7"/>
      <c r="E135" s="7"/>
      <c r="F135" s="7"/>
      <c r="G135" s="7"/>
    </row>
    <row r="136" spans="2:7" ht="15.75" x14ac:dyDescent="0.25">
      <c r="B136" s="10" t="s">
        <v>189</v>
      </c>
      <c r="C136" s="7"/>
      <c r="D136" s="7"/>
      <c r="E136" s="7"/>
      <c r="F136" s="7"/>
      <c r="G136" s="7"/>
    </row>
    <row r="137" spans="2:7" ht="15.75" x14ac:dyDescent="0.25">
      <c r="B137" s="10" t="s">
        <v>188</v>
      </c>
      <c r="C137" s="7"/>
      <c r="D137" s="7"/>
      <c r="E137" s="7"/>
      <c r="F137" s="7"/>
      <c r="G137" s="7"/>
    </row>
    <row r="138" spans="2:7" ht="15.75" x14ac:dyDescent="0.25">
      <c r="B138" s="10" t="s">
        <v>187</v>
      </c>
      <c r="C138" s="7"/>
      <c r="D138" s="7"/>
      <c r="E138" s="7"/>
      <c r="F138" s="7"/>
      <c r="G138" s="7"/>
    </row>
    <row r="139" spans="2:7" ht="15.75" x14ac:dyDescent="0.25">
      <c r="B139" s="10" t="s">
        <v>186</v>
      </c>
      <c r="C139" s="7"/>
      <c r="D139" s="14"/>
      <c r="E139" s="7"/>
      <c r="F139" s="7"/>
      <c r="G139" s="7"/>
    </row>
    <row r="140" spans="2:7" ht="31.5" x14ac:dyDescent="0.25">
      <c r="B140" s="10" t="s">
        <v>185</v>
      </c>
      <c r="C140" s="7"/>
      <c r="D140" s="14"/>
      <c r="E140" s="7"/>
      <c r="F140" s="7"/>
      <c r="G140" s="7"/>
    </row>
    <row r="141" spans="2:7" ht="15.75" x14ac:dyDescent="0.25">
      <c r="B141" s="10" t="s">
        <v>184</v>
      </c>
      <c r="C141" s="7"/>
      <c r="D141" s="14"/>
      <c r="E141" s="7"/>
      <c r="F141" s="7"/>
      <c r="G141" s="7"/>
    </row>
    <row r="142" spans="2:7" ht="15.75" x14ac:dyDescent="0.25">
      <c r="B142" s="10" t="s">
        <v>183</v>
      </c>
      <c r="C142" s="7"/>
      <c r="D142" s="14"/>
      <c r="E142" s="7"/>
      <c r="F142" s="7"/>
      <c r="G142" s="7"/>
    </row>
    <row r="143" spans="2:7" ht="15.75" x14ac:dyDescent="0.25">
      <c r="B143" s="10" t="s">
        <v>182</v>
      </c>
      <c r="C143" s="8"/>
      <c r="D143" s="14"/>
      <c r="E143" s="7"/>
      <c r="F143" s="7"/>
      <c r="G143" s="7"/>
    </row>
    <row r="144" spans="2:7" ht="15.75" x14ac:dyDescent="0.25">
      <c r="B144" s="10" t="s">
        <v>181</v>
      </c>
      <c r="C144" s="7"/>
      <c r="D144" s="14"/>
      <c r="E144" s="7"/>
      <c r="F144" s="7"/>
      <c r="G144" s="7"/>
    </row>
    <row r="145" spans="2:7" ht="15.75" x14ac:dyDescent="0.25">
      <c r="B145" s="10" t="s">
        <v>180</v>
      </c>
      <c r="C145" s="7"/>
      <c r="D145" s="14"/>
      <c r="E145" s="7"/>
      <c r="F145" s="7"/>
      <c r="G145" s="7"/>
    </row>
    <row r="146" spans="2:7" ht="15.75" x14ac:dyDescent="0.25">
      <c r="B146" s="10" t="s">
        <v>179</v>
      </c>
      <c r="C146" s="7"/>
      <c r="D146" s="14"/>
      <c r="E146" s="7"/>
      <c r="F146" s="7"/>
      <c r="G146" s="7"/>
    </row>
    <row r="147" spans="2:7" ht="15.75" x14ac:dyDescent="0.25">
      <c r="B147" s="10" t="s">
        <v>178</v>
      </c>
      <c r="C147" s="7"/>
      <c r="D147" s="7"/>
      <c r="E147" s="7"/>
      <c r="F147" s="7"/>
      <c r="G147" s="7"/>
    </row>
    <row r="148" spans="2:7" ht="15.75" x14ac:dyDescent="0.25">
      <c r="B148" s="10" t="s">
        <v>177</v>
      </c>
      <c r="C148" s="7"/>
      <c r="D148" s="7"/>
      <c r="E148" s="7"/>
      <c r="F148" s="7"/>
      <c r="G148" s="7"/>
    </row>
    <row r="149" spans="2:7" ht="31.5" x14ac:dyDescent="0.25">
      <c r="B149" s="10" t="s">
        <v>176</v>
      </c>
      <c r="C149" s="8"/>
      <c r="D149" s="7"/>
      <c r="E149" s="7"/>
      <c r="F149" s="7"/>
      <c r="G149" s="7"/>
    </row>
    <row r="150" spans="2:7" ht="15.75" x14ac:dyDescent="0.25">
      <c r="B150" s="10" t="s">
        <v>175</v>
      </c>
      <c r="C150" s="8"/>
      <c r="D150" s="7"/>
      <c r="E150" s="7"/>
      <c r="F150" s="7"/>
      <c r="G150" s="7"/>
    </row>
    <row r="151" spans="2:7" ht="15.75" x14ac:dyDescent="0.25">
      <c r="B151" s="10" t="s">
        <v>174</v>
      </c>
      <c r="C151" s="7"/>
      <c r="D151" s="7"/>
      <c r="E151" s="7"/>
      <c r="F151" s="7"/>
      <c r="G151" s="7"/>
    </row>
    <row r="152" spans="2:7" ht="15.75" x14ac:dyDescent="0.25">
      <c r="B152" s="10" t="s">
        <v>173</v>
      </c>
      <c r="C152" s="8"/>
      <c r="D152" s="7"/>
      <c r="E152" s="7"/>
      <c r="F152" s="7"/>
      <c r="G152" s="7"/>
    </row>
    <row r="153" spans="2:7" ht="15.75" x14ac:dyDescent="0.25">
      <c r="B153" s="10" t="s">
        <v>172</v>
      </c>
      <c r="C153" s="8"/>
      <c r="D153" s="7"/>
      <c r="E153" s="7"/>
      <c r="F153" s="7"/>
      <c r="G153" s="7"/>
    </row>
    <row r="154" spans="2:7" ht="15.75" x14ac:dyDescent="0.25">
      <c r="B154" s="10" t="s">
        <v>171</v>
      </c>
      <c r="C154" s="8"/>
      <c r="D154" s="7"/>
      <c r="E154" s="7"/>
      <c r="F154" s="7"/>
      <c r="G154" s="7"/>
    </row>
    <row r="155" spans="2:7" ht="15.75" x14ac:dyDescent="0.25">
      <c r="B155" s="13" t="s">
        <v>170</v>
      </c>
      <c r="C155" s="8"/>
      <c r="D155" s="7"/>
      <c r="E155" s="7"/>
      <c r="F155" s="7"/>
      <c r="G155" s="7"/>
    </row>
    <row r="156" spans="2:7" x14ac:dyDescent="0.2">
      <c r="B156" s="12"/>
      <c r="C156" s="7"/>
      <c r="D156" s="7"/>
      <c r="E156" s="7"/>
      <c r="F156" s="7"/>
      <c r="G156" s="7"/>
    </row>
    <row r="157" spans="2:7" ht="15.75" x14ac:dyDescent="0.25">
      <c r="B157" s="11" t="s">
        <v>8</v>
      </c>
      <c r="C157" s="7"/>
      <c r="D157" s="7"/>
      <c r="E157" s="7"/>
      <c r="F157" s="7"/>
      <c r="G157" s="7"/>
    </row>
    <row r="158" spans="2:7" ht="15.75" x14ac:dyDescent="0.25">
      <c r="B158" s="10" t="s">
        <v>169</v>
      </c>
      <c r="C158" s="7"/>
      <c r="D158" s="7"/>
      <c r="E158" s="7"/>
      <c r="F158" s="7"/>
      <c r="G158" s="7"/>
    </row>
    <row r="159" spans="2:7" ht="15.75" x14ac:dyDescent="0.25">
      <c r="B159" s="10" t="s">
        <v>168</v>
      </c>
      <c r="C159" s="8"/>
      <c r="D159" s="7"/>
      <c r="E159" s="7"/>
      <c r="F159" s="7"/>
      <c r="G159" s="7"/>
    </row>
    <row r="160" spans="2:7" ht="15.75" x14ac:dyDescent="0.25">
      <c r="B160" s="10" t="s">
        <v>167</v>
      </c>
      <c r="C160" s="8"/>
      <c r="D160" s="7"/>
      <c r="E160" s="7"/>
      <c r="F160" s="7"/>
      <c r="G160" s="7"/>
    </row>
    <row r="161" spans="2:7" ht="15.75" x14ac:dyDescent="0.25">
      <c r="B161" s="10" t="s">
        <v>166</v>
      </c>
      <c r="C161" s="8"/>
      <c r="D161" s="7"/>
      <c r="E161" s="7"/>
      <c r="F161" s="7"/>
      <c r="G161" s="7"/>
    </row>
    <row r="162" spans="2:7" ht="15.75" x14ac:dyDescent="0.25">
      <c r="B162" s="10" t="s">
        <v>165</v>
      </c>
      <c r="C162" s="7"/>
      <c r="D162" s="7"/>
      <c r="E162" s="7"/>
      <c r="F162" s="7"/>
      <c r="G162" s="7"/>
    </row>
    <row r="163" spans="2:7" ht="15.75" x14ac:dyDescent="0.25">
      <c r="B163" s="10" t="s">
        <v>164</v>
      </c>
      <c r="C163" s="8"/>
      <c r="D163" s="7"/>
      <c r="E163" s="7"/>
      <c r="F163" s="7"/>
      <c r="G163" s="7"/>
    </row>
    <row r="164" spans="2:7" ht="15.75" x14ac:dyDescent="0.25">
      <c r="B164" s="10" t="s">
        <v>163</v>
      </c>
      <c r="C164" s="8"/>
      <c r="D164" s="7"/>
      <c r="E164" s="7"/>
      <c r="F164" s="7"/>
      <c r="G164" s="7"/>
    </row>
    <row r="165" spans="2:7" ht="15.75" x14ac:dyDescent="0.25">
      <c r="B165" s="10" t="s">
        <v>162</v>
      </c>
      <c r="C165" s="8"/>
      <c r="D165" s="7"/>
      <c r="E165" s="7"/>
      <c r="F165" s="7"/>
      <c r="G165" s="7"/>
    </row>
    <row r="166" spans="2:7" ht="15.75" x14ac:dyDescent="0.25">
      <c r="B166" s="10" t="s">
        <v>161</v>
      </c>
      <c r="C166" s="8"/>
      <c r="D166" s="7"/>
      <c r="E166" s="7"/>
      <c r="F166" s="7"/>
      <c r="G166" s="7"/>
    </row>
    <row r="167" spans="2:7" ht="15.75" x14ac:dyDescent="0.25">
      <c r="B167" s="10" t="s">
        <v>160</v>
      </c>
      <c r="C167" s="8"/>
      <c r="D167" s="7"/>
      <c r="E167" s="7"/>
      <c r="F167" s="7"/>
      <c r="G167" s="7"/>
    </row>
    <row r="168" spans="2:7" ht="15.75" x14ac:dyDescent="0.25">
      <c r="B168" s="10" t="s">
        <v>159</v>
      </c>
      <c r="C168" s="8"/>
      <c r="D168" s="7"/>
      <c r="E168" s="7"/>
      <c r="F168" s="7"/>
      <c r="G168" s="7"/>
    </row>
    <row r="169" spans="2:7" ht="15.75" x14ac:dyDescent="0.25">
      <c r="B169" s="10" t="s">
        <v>158</v>
      </c>
      <c r="C169" s="7"/>
      <c r="D169" s="7"/>
      <c r="E169" s="7"/>
      <c r="F169" s="7"/>
      <c r="G169" s="7"/>
    </row>
    <row r="170" spans="2:7" ht="15.75" x14ac:dyDescent="0.25">
      <c r="B170" s="10" t="s">
        <v>157</v>
      </c>
      <c r="C170" s="8"/>
      <c r="D170" s="7"/>
      <c r="E170" s="7"/>
      <c r="F170" s="7"/>
      <c r="G170" s="7"/>
    </row>
    <row r="171" spans="2:7" ht="15.75" x14ac:dyDescent="0.25">
      <c r="B171" s="10" t="s">
        <v>156</v>
      </c>
      <c r="C171" s="7"/>
      <c r="D171" s="7"/>
      <c r="E171" s="7"/>
      <c r="F171" s="7"/>
      <c r="G171" s="7"/>
    </row>
    <row r="172" spans="2:7" ht="15.75" x14ac:dyDescent="0.25">
      <c r="B172" s="10" t="s">
        <v>155</v>
      </c>
      <c r="C172" s="7"/>
      <c r="D172" s="7"/>
      <c r="E172" s="7"/>
      <c r="F172" s="7"/>
      <c r="G172" s="7"/>
    </row>
    <row r="173" spans="2:7" ht="15.75" x14ac:dyDescent="0.25">
      <c r="B173" s="10" t="s">
        <v>154</v>
      </c>
      <c r="C173" s="8"/>
      <c r="D173" s="7"/>
      <c r="E173" s="7"/>
      <c r="F173" s="7"/>
      <c r="G173" s="7"/>
    </row>
    <row r="174" spans="2:7" ht="31.5" x14ac:dyDescent="0.25">
      <c r="B174" s="10" t="s">
        <v>153</v>
      </c>
      <c r="C174" s="8"/>
      <c r="D174" s="7"/>
      <c r="E174" s="7"/>
      <c r="F174" s="7"/>
      <c r="G174" s="7"/>
    </row>
    <row r="175" spans="2:7" ht="15.75" x14ac:dyDescent="0.25">
      <c r="B175" s="13" t="s">
        <v>152</v>
      </c>
      <c r="C175" s="8"/>
      <c r="D175" s="7"/>
      <c r="E175" s="7"/>
      <c r="F175" s="7"/>
      <c r="G175" s="7"/>
    </row>
    <row r="176" spans="2:7" x14ac:dyDescent="0.2">
      <c r="B176" s="12"/>
      <c r="C176" s="7"/>
      <c r="D176" s="7"/>
      <c r="E176" s="7"/>
      <c r="F176" s="7"/>
      <c r="G176" s="7"/>
    </row>
    <row r="177" spans="2:7" ht="15.75" x14ac:dyDescent="0.25">
      <c r="B177" s="11" t="s">
        <v>151</v>
      </c>
      <c r="C177" s="7"/>
      <c r="D177" s="7"/>
      <c r="E177" s="7"/>
      <c r="F177" s="7"/>
      <c r="G177" s="7"/>
    </row>
    <row r="178" spans="2:7" ht="15.75" x14ac:dyDescent="0.25">
      <c r="B178" s="10" t="s">
        <v>150</v>
      </c>
      <c r="C178" s="7"/>
      <c r="D178" s="7"/>
      <c r="E178" s="7"/>
      <c r="F178" s="7"/>
      <c r="G178" s="7"/>
    </row>
    <row r="179" spans="2:7" ht="15.75" x14ac:dyDescent="0.25">
      <c r="B179" s="10" t="s">
        <v>149</v>
      </c>
      <c r="C179" s="7"/>
      <c r="D179" s="7"/>
      <c r="E179" s="7"/>
      <c r="F179" s="7"/>
      <c r="G179" s="7"/>
    </row>
    <row r="180" spans="2:7" ht="15.75" x14ac:dyDescent="0.25">
      <c r="B180" s="10" t="s">
        <v>148</v>
      </c>
      <c r="C180" s="7"/>
      <c r="D180" s="7"/>
      <c r="E180" s="7"/>
      <c r="F180" s="7"/>
      <c r="G180" s="7"/>
    </row>
    <row r="181" spans="2:7" ht="15.75" x14ac:dyDescent="0.25">
      <c r="B181" s="10" t="s">
        <v>147</v>
      </c>
      <c r="C181" s="8"/>
      <c r="D181" s="7"/>
      <c r="E181" s="7"/>
      <c r="F181" s="7"/>
      <c r="G181" s="7"/>
    </row>
    <row r="182" spans="2:7" ht="15.75" x14ac:dyDescent="0.25">
      <c r="B182" s="10" t="s">
        <v>146</v>
      </c>
      <c r="C182" s="8"/>
      <c r="D182" s="7"/>
      <c r="E182" s="7"/>
      <c r="F182" s="7"/>
      <c r="G182" s="7"/>
    </row>
    <row r="183" spans="2:7" ht="15.75" x14ac:dyDescent="0.25">
      <c r="B183" s="10" t="s">
        <v>145</v>
      </c>
      <c r="C183" s="7"/>
      <c r="D183" s="7"/>
      <c r="E183" s="7"/>
      <c r="F183" s="7"/>
      <c r="G183" s="7"/>
    </row>
    <row r="184" spans="2:7" ht="15.75" x14ac:dyDescent="0.25">
      <c r="B184" s="10" t="s">
        <v>144</v>
      </c>
      <c r="C184" s="7"/>
      <c r="D184" s="7"/>
      <c r="E184" s="7"/>
      <c r="F184" s="7"/>
      <c r="G184" s="7"/>
    </row>
    <row r="185" spans="2:7" x14ac:dyDescent="0.2">
      <c r="B185" s="12"/>
      <c r="C185" s="7"/>
      <c r="D185" s="7"/>
      <c r="E185" s="7"/>
      <c r="F185" s="7"/>
      <c r="G185" s="7"/>
    </row>
    <row r="186" spans="2:7" ht="15.75" x14ac:dyDescent="0.25">
      <c r="B186" s="11" t="s">
        <v>143</v>
      </c>
      <c r="C186" s="7"/>
      <c r="D186" s="7"/>
      <c r="E186" s="7"/>
      <c r="F186" s="7"/>
      <c r="G186" s="7"/>
    </row>
    <row r="187" spans="2:7" ht="15.75" x14ac:dyDescent="0.25">
      <c r="B187" s="10" t="s">
        <v>142</v>
      </c>
      <c r="C187" s="7"/>
      <c r="D187" s="7"/>
      <c r="E187" s="7"/>
      <c r="F187" s="7"/>
      <c r="G187" s="7"/>
    </row>
    <row r="188" spans="2:7" ht="15.75" x14ac:dyDescent="0.25">
      <c r="B188" s="10" t="s">
        <v>141</v>
      </c>
      <c r="C188" s="7"/>
      <c r="D188" s="7"/>
      <c r="E188" s="7"/>
      <c r="F188" s="7"/>
      <c r="G188" s="7"/>
    </row>
    <row r="189" spans="2:7" ht="15.75" x14ac:dyDescent="0.25">
      <c r="B189" s="10" t="s">
        <v>140</v>
      </c>
      <c r="C189" s="7"/>
      <c r="D189" s="7"/>
      <c r="E189" s="7"/>
      <c r="F189" s="7"/>
      <c r="G189" s="7"/>
    </row>
    <row r="190" spans="2:7" ht="15.75" x14ac:dyDescent="0.25">
      <c r="B190" s="10" t="s">
        <v>139</v>
      </c>
      <c r="C190" s="7"/>
      <c r="D190" s="7"/>
      <c r="E190" s="7"/>
      <c r="F190" s="7"/>
      <c r="G190" s="7"/>
    </row>
    <row r="191" spans="2:7" ht="15.75" x14ac:dyDescent="0.25">
      <c r="B191" s="10" t="s">
        <v>138</v>
      </c>
      <c r="C191" s="7"/>
      <c r="D191" s="7"/>
      <c r="E191" s="7"/>
      <c r="F191" s="7"/>
      <c r="G191" s="7"/>
    </row>
    <row r="192" spans="2:7" ht="15.75" x14ac:dyDescent="0.25">
      <c r="B192" s="10" t="s">
        <v>137</v>
      </c>
      <c r="C192" s="7"/>
      <c r="D192" s="7"/>
      <c r="E192" s="7"/>
      <c r="F192" s="7"/>
      <c r="G192" s="7"/>
    </row>
    <row r="193" spans="2:7" ht="15.75" x14ac:dyDescent="0.25">
      <c r="B193" s="10" t="s">
        <v>136</v>
      </c>
      <c r="C193" s="7"/>
      <c r="D193" s="7"/>
      <c r="E193" s="7"/>
      <c r="F193" s="7"/>
      <c r="G193" s="7"/>
    </row>
    <row r="194" spans="2:7" ht="31.5" x14ac:dyDescent="0.25">
      <c r="B194" s="10" t="s">
        <v>135</v>
      </c>
      <c r="C194" s="7"/>
      <c r="D194" s="7"/>
      <c r="E194" s="7"/>
      <c r="F194" s="7"/>
      <c r="G194" s="7"/>
    </row>
    <row r="195" spans="2:7" ht="15.75" x14ac:dyDescent="0.25">
      <c r="B195" s="10" t="s">
        <v>134</v>
      </c>
      <c r="C195" s="7"/>
      <c r="D195" s="7"/>
      <c r="E195" s="7"/>
      <c r="F195" s="7"/>
      <c r="G195" s="7"/>
    </row>
    <row r="196" spans="2:7" ht="15.75" x14ac:dyDescent="0.25">
      <c r="B196" s="10" t="s">
        <v>133</v>
      </c>
      <c r="C196" s="7"/>
      <c r="D196" s="7"/>
      <c r="E196" s="7"/>
      <c r="F196" s="7"/>
      <c r="G196" s="7"/>
    </row>
    <row r="197" spans="2:7" ht="15.75" x14ac:dyDescent="0.25">
      <c r="B197" s="10" t="s">
        <v>132</v>
      </c>
      <c r="C197" s="7"/>
      <c r="D197" s="7"/>
      <c r="E197" s="7"/>
      <c r="F197" s="7"/>
      <c r="G197" s="7"/>
    </row>
    <row r="198" spans="2:7" ht="15.75" x14ac:dyDescent="0.25">
      <c r="B198" s="10" t="s">
        <v>131</v>
      </c>
      <c r="C198" s="7"/>
      <c r="D198" s="7"/>
      <c r="E198" s="7"/>
      <c r="F198" s="7"/>
      <c r="G198" s="7"/>
    </row>
    <row r="199" spans="2:7" ht="15.75" x14ac:dyDescent="0.25">
      <c r="B199" s="10" t="s">
        <v>130</v>
      </c>
      <c r="C199" s="7"/>
      <c r="D199" s="7"/>
      <c r="E199" s="7"/>
      <c r="F199" s="7"/>
      <c r="G199" s="7"/>
    </row>
    <row r="200" spans="2:7" ht="31.5" x14ac:dyDescent="0.25">
      <c r="B200" s="10" t="s">
        <v>129</v>
      </c>
      <c r="C200" s="7"/>
      <c r="D200" s="7"/>
      <c r="E200" s="7"/>
      <c r="F200" s="7"/>
      <c r="G200" s="7"/>
    </row>
    <row r="201" spans="2:7" ht="31.5" x14ac:dyDescent="0.25">
      <c r="B201" s="10" t="s">
        <v>128</v>
      </c>
      <c r="C201" s="8"/>
      <c r="D201" s="7"/>
      <c r="E201" s="7"/>
      <c r="F201" s="7"/>
      <c r="G201" s="7"/>
    </row>
    <row r="202" spans="2:7" ht="15.75" x14ac:dyDescent="0.25">
      <c r="B202" s="10"/>
      <c r="C202" s="7"/>
      <c r="D202" s="7"/>
      <c r="E202" s="7"/>
      <c r="F202" s="7"/>
      <c r="G202" s="7"/>
    </row>
    <row r="203" spans="2:7" ht="15.75" x14ac:dyDescent="0.25">
      <c r="B203" s="11" t="s">
        <v>127</v>
      </c>
      <c r="C203" s="7"/>
      <c r="D203" s="7"/>
      <c r="E203" s="7"/>
      <c r="F203" s="7"/>
      <c r="G203" s="7"/>
    </row>
    <row r="204" spans="2:7" ht="15.75" x14ac:dyDescent="0.25">
      <c r="B204" s="10" t="s">
        <v>126</v>
      </c>
      <c r="C204" s="7"/>
      <c r="D204" s="7"/>
      <c r="E204" s="7"/>
      <c r="F204" s="7"/>
      <c r="G204" s="7"/>
    </row>
    <row r="205" spans="2:7" ht="15.75" x14ac:dyDescent="0.25">
      <c r="B205" s="10" t="s">
        <v>125</v>
      </c>
      <c r="C205" s="7"/>
      <c r="D205" s="7"/>
      <c r="E205" s="7"/>
      <c r="F205" s="7"/>
      <c r="G205" s="7"/>
    </row>
    <row r="206" spans="2:7" ht="15.75" x14ac:dyDescent="0.25">
      <c r="B206" s="10" t="s">
        <v>124</v>
      </c>
      <c r="C206" s="7"/>
      <c r="D206" s="7"/>
      <c r="E206" s="7"/>
      <c r="F206" s="7"/>
      <c r="G206" s="7"/>
    </row>
    <row r="207" spans="2:7" ht="15.75" x14ac:dyDescent="0.25">
      <c r="B207" s="10" t="s">
        <v>123</v>
      </c>
      <c r="C207" s="8"/>
      <c r="D207" s="7"/>
      <c r="E207" s="7"/>
      <c r="F207" s="7"/>
      <c r="G207" s="7"/>
    </row>
    <row r="208" spans="2:7" ht="15.75" x14ac:dyDescent="0.25">
      <c r="B208" s="10" t="s">
        <v>122</v>
      </c>
      <c r="C208" s="7"/>
      <c r="D208" s="7"/>
      <c r="E208" s="7"/>
      <c r="F208" s="7"/>
      <c r="G208" s="7"/>
    </row>
    <row r="209" spans="2:7" ht="15.75" x14ac:dyDescent="0.25">
      <c r="B209" s="10" t="s">
        <v>121</v>
      </c>
      <c r="C209" s="7"/>
      <c r="D209" s="7"/>
      <c r="E209" s="7"/>
      <c r="F209" s="7"/>
      <c r="G209" s="7"/>
    </row>
    <row r="210" spans="2:7" ht="15.75" x14ac:dyDescent="0.25">
      <c r="B210" s="10" t="s">
        <v>120</v>
      </c>
      <c r="C210" s="8"/>
      <c r="D210" s="7"/>
      <c r="E210" s="7"/>
      <c r="F210" s="7"/>
      <c r="G210" s="7"/>
    </row>
    <row r="211" spans="2:7" ht="15.75" x14ac:dyDescent="0.25">
      <c r="B211" s="10" t="s">
        <v>119</v>
      </c>
      <c r="C211" s="8"/>
      <c r="D211" s="7"/>
      <c r="E211" s="7"/>
      <c r="F211" s="7"/>
      <c r="G211" s="7"/>
    </row>
    <row r="212" spans="2:7" ht="15.75" x14ac:dyDescent="0.25">
      <c r="B212" s="10" t="s">
        <v>118</v>
      </c>
      <c r="C212" s="7"/>
      <c r="D212" s="7"/>
      <c r="E212" s="7"/>
      <c r="F212" s="7"/>
      <c r="G212" s="7"/>
    </row>
    <row r="213" spans="2:7" ht="15.75" x14ac:dyDescent="0.25">
      <c r="B213" s="10" t="s">
        <v>117</v>
      </c>
      <c r="C213" s="7"/>
      <c r="D213" s="7"/>
      <c r="E213" s="7"/>
      <c r="F213" s="7"/>
      <c r="G213" s="7"/>
    </row>
    <row r="214" spans="2:7" ht="15.75" x14ac:dyDescent="0.25">
      <c r="B214" s="10" t="s">
        <v>116</v>
      </c>
      <c r="C214" s="8"/>
      <c r="D214" s="7"/>
      <c r="E214" s="7"/>
      <c r="F214" s="7"/>
      <c r="G214" s="7"/>
    </row>
    <row r="215" spans="2:7" ht="15.75" x14ac:dyDescent="0.25">
      <c r="B215" s="10" t="s">
        <v>115</v>
      </c>
      <c r="C215" s="7"/>
      <c r="D215" s="7"/>
      <c r="E215" s="7"/>
      <c r="F215" s="7"/>
      <c r="G215" s="7"/>
    </row>
    <row r="216" spans="2:7" ht="31.5" x14ac:dyDescent="0.25">
      <c r="B216" s="10" t="s">
        <v>114</v>
      </c>
      <c r="C216" s="7"/>
      <c r="D216" s="7"/>
      <c r="E216" s="7"/>
      <c r="F216" s="7"/>
      <c r="G216" s="7"/>
    </row>
    <row r="217" spans="2:7" ht="15.75" x14ac:dyDescent="0.25">
      <c r="B217" s="10"/>
      <c r="C217" s="7"/>
      <c r="D217" s="7"/>
      <c r="E217" s="7"/>
      <c r="F217" s="7"/>
      <c r="G217" s="7"/>
    </row>
    <row r="218" spans="2:7" ht="15.75" x14ac:dyDescent="0.25">
      <c r="B218" s="11" t="s">
        <v>113</v>
      </c>
      <c r="C218" s="7"/>
      <c r="D218" s="7"/>
      <c r="E218" s="7"/>
      <c r="F218" s="7"/>
      <c r="G218" s="7"/>
    </row>
    <row r="219" spans="2:7" ht="15.75" x14ac:dyDescent="0.25">
      <c r="B219" s="10" t="s">
        <v>112</v>
      </c>
      <c r="C219" s="7"/>
      <c r="D219" s="7"/>
      <c r="E219" s="7"/>
      <c r="F219" s="7"/>
      <c r="G219" s="7"/>
    </row>
    <row r="220" spans="2:7" ht="15.75" x14ac:dyDescent="0.25">
      <c r="B220" s="10" t="s">
        <v>111</v>
      </c>
      <c r="C220" s="7"/>
      <c r="D220" s="7"/>
      <c r="E220" s="7"/>
      <c r="F220" s="7"/>
      <c r="G220" s="7"/>
    </row>
    <row r="221" spans="2:7" ht="15.75" x14ac:dyDescent="0.25">
      <c r="B221" s="10" t="s">
        <v>110</v>
      </c>
      <c r="C221" s="7"/>
      <c r="D221" s="7"/>
      <c r="E221" s="7"/>
      <c r="F221" s="7"/>
      <c r="G221" s="7"/>
    </row>
    <row r="222" spans="2:7" ht="31.5" x14ac:dyDescent="0.25">
      <c r="B222" s="10" t="s">
        <v>109</v>
      </c>
      <c r="C222" s="7"/>
      <c r="D222" s="7"/>
      <c r="E222" s="7"/>
      <c r="F222" s="7"/>
      <c r="G222" s="7"/>
    </row>
    <row r="223" spans="2:7" ht="31.5" x14ac:dyDescent="0.25">
      <c r="B223" s="10" t="s">
        <v>108</v>
      </c>
      <c r="C223" s="7"/>
      <c r="D223" s="7"/>
      <c r="E223" s="7"/>
      <c r="F223" s="7"/>
      <c r="G223" s="7"/>
    </row>
    <row r="224" spans="2:7" ht="15.75" x14ac:dyDescent="0.25">
      <c r="B224" s="10" t="s">
        <v>107</v>
      </c>
      <c r="C224" s="7"/>
      <c r="D224" s="7"/>
      <c r="E224" s="7"/>
      <c r="F224" s="7"/>
      <c r="G224" s="7"/>
    </row>
    <row r="225" spans="2:7" ht="15.75" x14ac:dyDescent="0.25">
      <c r="B225" s="10"/>
      <c r="C225" s="7"/>
      <c r="D225" s="7"/>
      <c r="E225" s="7"/>
      <c r="F225" s="7"/>
      <c r="G225" s="7"/>
    </row>
    <row r="226" spans="2:7" ht="15.75" x14ac:dyDescent="0.25">
      <c r="B226" s="11" t="s">
        <v>106</v>
      </c>
      <c r="C226" s="7"/>
      <c r="D226" s="7"/>
      <c r="E226" s="7"/>
      <c r="F226" s="7"/>
      <c r="G226" s="7"/>
    </row>
    <row r="227" spans="2:7" ht="15.75" x14ac:dyDescent="0.25">
      <c r="B227" s="10" t="s">
        <v>105</v>
      </c>
      <c r="C227" s="7"/>
      <c r="D227" s="7"/>
      <c r="E227" s="7"/>
      <c r="F227" s="7"/>
      <c r="G227" s="7"/>
    </row>
    <row r="228" spans="2:7" ht="15.75" x14ac:dyDescent="0.25">
      <c r="B228" s="10" t="s">
        <v>104</v>
      </c>
      <c r="C228" s="7"/>
      <c r="D228" s="7"/>
      <c r="E228" s="7"/>
      <c r="F228" s="7"/>
      <c r="G228" s="7"/>
    </row>
    <row r="229" spans="2:7" ht="15.75" x14ac:dyDescent="0.25">
      <c r="B229" s="10" t="s">
        <v>103</v>
      </c>
      <c r="C229" s="7"/>
      <c r="D229" s="7"/>
      <c r="E229" s="7"/>
      <c r="F229" s="7"/>
      <c r="G229" s="7"/>
    </row>
    <row r="230" spans="2:7" ht="15.75" x14ac:dyDescent="0.25">
      <c r="B230" s="10" t="s">
        <v>102</v>
      </c>
      <c r="C230" s="7"/>
      <c r="D230" s="7"/>
      <c r="E230" s="7"/>
      <c r="F230" s="7"/>
      <c r="G230" s="7"/>
    </row>
    <row r="231" spans="2:7" ht="15.75" x14ac:dyDescent="0.25">
      <c r="B231" s="10" t="s">
        <v>101</v>
      </c>
      <c r="C231" s="7"/>
      <c r="D231" s="7"/>
      <c r="E231" s="7"/>
      <c r="F231" s="7"/>
      <c r="G231" s="7"/>
    </row>
    <row r="232" spans="2:7" ht="15.75" x14ac:dyDescent="0.25">
      <c r="B232" s="10" t="s">
        <v>100</v>
      </c>
      <c r="C232" s="7"/>
      <c r="D232" s="7"/>
      <c r="E232" s="7"/>
      <c r="F232" s="7"/>
      <c r="G232" s="7"/>
    </row>
    <row r="233" spans="2:7" ht="15.75" x14ac:dyDescent="0.25">
      <c r="B233" s="10" t="s">
        <v>99</v>
      </c>
      <c r="C233" s="7"/>
      <c r="D233" s="7"/>
      <c r="E233" s="7"/>
      <c r="F233" s="7"/>
      <c r="G233" s="7"/>
    </row>
    <row r="234" spans="2:7" ht="15.75" x14ac:dyDescent="0.25">
      <c r="B234" s="10" t="s">
        <v>98</v>
      </c>
      <c r="C234" s="7"/>
      <c r="D234" s="7"/>
      <c r="E234" s="7"/>
      <c r="F234" s="7"/>
      <c r="G234" s="7"/>
    </row>
    <row r="235" spans="2:7" ht="15.75" x14ac:dyDescent="0.25">
      <c r="B235" s="10" t="s">
        <v>97</v>
      </c>
      <c r="C235" s="7"/>
      <c r="D235" s="7"/>
      <c r="E235" s="7"/>
      <c r="F235" s="7"/>
      <c r="G235" s="7"/>
    </row>
    <row r="236" spans="2:7" ht="15.75" x14ac:dyDescent="0.25">
      <c r="B236" s="10" t="s">
        <v>96</v>
      </c>
      <c r="C236" s="7"/>
      <c r="D236" s="7"/>
      <c r="E236" s="7"/>
      <c r="F236" s="7"/>
      <c r="G236" s="7"/>
    </row>
    <row r="237" spans="2:7" ht="15.75" x14ac:dyDescent="0.25">
      <c r="B237" s="10" t="s">
        <v>95</v>
      </c>
      <c r="C237" s="7"/>
      <c r="D237" s="7"/>
      <c r="E237" s="7"/>
      <c r="F237" s="7"/>
      <c r="G237" s="7"/>
    </row>
    <row r="238" spans="2:7" ht="15.75" x14ac:dyDescent="0.25">
      <c r="B238" s="10" t="s">
        <v>94</v>
      </c>
      <c r="C238" s="7"/>
      <c r="D238" s="7"/>
      <c r="E238" s="7"/>
      <c r="F238" s="7"/>
      <c r="G238" s="7"/>
    </row>
    <row r="239" spans="2:7" ht="15.75" x14ac:dyDescent="0.25">
      <c r="B239" s="10" t="s">
        <v>93</v>
      </c>
      <c r="C239" s="7"/>
      <c r="D239" s="7"/>
      <c r="E239" s="7"/>
      <c r="F239" s="7"/>
      <c r="G239" s="7"/>
    </row>
    <row r="240" spans="2:7" ht="15.75" x14ac:dyDescent="0.25">
      <c r="B240" s="10" t="s">
        <v>92</v>
      </c>
      <c r="C240" s="7"/>
      <c r="D240" s="7"/>
      <c r="E240" s="7"/>
      <c r="F240" s="7"/>
      <c r="G240" s="7"/>
    </row>
    <row r="241" spans="2:7" ht="15.75" x14ac:dyDescent="0.25">
      <c r="B241" s="10" t="s">
        <v>91</v>
      </c>
      <c r="C241" s="8"/>
      <c r="D241" s="7"/>
      <c r="E241" s="7"/>
      <c r="F241" s="7"/>
      <c r="G241" s="7"/>
    </row>
    <row r="242" spans="2:7" ht="31.5" x14ac:dyDescent="0.25">
      <c r="B242" s="10" t="s">
        <v>90</v>
      </c>
      <c r="C242" s="7"/>
      <c r="D242" s="7"/>
      <c r="E242" s="7"/>
      <c r="F242" s="7"/>
      <c r="G242" s="7"/>
    </row>
    <row r="243" spans="2:7" ht="15.75" x14ac:dyDescent="0.25">
      <c r="B243" s="10" t="s">
        <v>89</v>
      </c>
      <c r="C243" s="7"/>
      <c r="D243" s="7"/>
      <c r="E243" s="7"/>
      <c r="F243" s="7"/>
      <c r="G243" s="7"/>
    </row>
    <row r="244" spans="2:7" ht="15.75" x14ac:dyDescent="0.25">
      <c r="B244" s="10" t="s">
        <v>88</v>
      </c>
      <c r="C244" s="7"/>
      <c r="D244" s="7"/>
      <c r="E244" s="7"/>
      <c r="F244" s="7"/>
      <c r="G244" s="7"/>
    </row>
    <row r="245" spans="2:7" ht="15.75" x14ac:dyDescent="0.25">
      <c r="B245" s="10" t="s">
        <v>87</v>
      </c>
      <c r="C245" s="8"/>
      <c r="D245" s="7"/>
      <c r="E245" s="7"/>
      <c r="F245" s="7"/>
      <c r="G245" s="7"/>
    </row>
    <row r="246" spans="2:7" ht="15.75" x14ac:dyDescent="0.25">
      <c r="B246" s="10" t="s">
        <v>86</v>
      </c>
      <c r="C246" s="7"/>
      <c r="D246" s="7"/>
      <c r="E246" s="7"/>
      <c r="F246" s="7"/>
      <c r="G246" s="7"/>
    </row>
    <row r="247" spans="2:7" ht="15.75" x14ac:dyDescent="0.25">
      <c r="B247" s="10"/>
      <c r="C247" s="7"/>
      <c r="D247" s="7"/>
      <c r="E247" s="7"/>
      <c r="F247" s="7"/>
      <c r="G247" s="7"/>
    </row>
    <row r="248" spans="2:7" ht="15.75" x14ac:dyDescent="0.25">
      <c r="B248" s="11" t="s">
        <v>85</v>
      </c>
      <c r="C248" s="7"/>
      <c r="D248" s="7"/>
      <c r="E248" s="7"/>
      <c r="F248" s="7"/>
      <c r="G248" s="7"/>
    </row>
    <row r="249" spans="2:7" ht="15.75" x14ac:dyDescent="0.25">
      <c r="B249" s="10" t="s">
        <v>84</v>
      </c>
      <c r="C249" s="8"/>
      <c r="D249" s="7"/>
      <c r="E249" s="7"/>
      <c r="F249" s="7"/>
      <c r="G249" s="7"/>
    </row>
    <row r="250" spans="2:7" ht="15.75" x14ac:dyDescent="0.25">
      <c r="B250" s="10" t="s">
        <v>83</v>
      </c>
      <c r="C250" s="8"/>
      <c r="D250" s="7"/>
      <c r="E250" s="7"/>
      <c r="F250" s="7"/>
      <c r="G250" s="7"/>
    </row>
    <row r="251" spans="2:7" ht="15.75" x14ac:dyDescent="0.25">
      <c r="B251" s="10" t="s">
        <v>82</v>
      </c>
      <c r="C251" s="8"/>
      <c r="D251" s="7"/>
      <c r="E251" s="7"/>
      <c r="F251" s="7"/>
      <c r="G251" s="7"/>
    </row>
    <row r="252" spans="2:7" ht="15.75" x14ac:dyDescent="0.25">
      <c r="B252" s="10" t="s">
        <v>81</v>
      </c>
      <c r="C252" s="8"/>
      <c r="D252" s="7"/>
      <c r="E252" s="7"/>
      <c r="F252" s="7"/>
      <c r="G252" s="7"/>
    </row>
    <row r="253" spans="2:7" ht="15.75" x14ac:dyDescent="0.25">
      <c r="B253" s="10" t="s">
        <v>80</v>
      </c>
      <c r="C253" s="8"/>
      <c r="D253" s="7"/>
      <c r="E253" s="7"/>
      <c r="F253" s="7"/>
      <c r="G253" s="7"/>
    </row>
    <row r="254" spans="2:7" ht="15.75" x14ac:dyDescent="0.25">
      <c r="B254" s="10" t="s">
        <v>79</v>
      </c>
      <c r="C254" s="8"/>
      <c r="D254" s="7"/>
      <c r="E254" s="7"/>
      <c r="F254" s="7"/>
      <c r="G254" s="7"/>
    </row>
    <row r="255" spans="2:7" ht="15.75" x14ac:dyDescent="0.25">
      <c r="B255" s="10" t="s">
        <v>78</v>
      </c>
      <c r="C255" s="8"/>
      <c r="D255" s="7"/>
      <c r="E255" s="7"/>
      <c r="F255" s="7"/>
      <c r="G255" s="7"/>
    </row>
    <row r="256" spans="2:7" ht="15.75" x14ac:dyDescent="0.25">
      <c r="B256" s="10" t="s">
        <v>77</v>
      </c>
      <c r="C256" s="8"/>
      <c r="D256" s="7"/>
      <c r="E256" s="7"/>
      <c r="F256" s="7"/>
      <c r="G256" s="7"/>
    </row>
    <row r="257" spans="1:7" ht="15.75" x14ac:dyDescent="0.25">
      <c r="B257" s="10" t="s">
        <v>76</v>
      </c>
      <c r="C257" s="8"/>
      <c r="D257" s="7"/>
      <c r="E257" s="7"/>
      <c r="F257" s="7"/>
      <c r="G257" s="7"/>
    </row>
    <row r="258" spans="1:7" ht="15.75" x14ac:dyDescent="0.25">
      <c r="B258" s="10" t="s">
        <v>75</v>
      </c>
      <c r="C258" s="8"/>
      <c r="D258" s="7"/>
      <c r="E258" s="7"/>
      <c r="F258" s="7"/>
      <c r="G258" s="7"/>
    </row>
    <row r="259" spans="1:7" ht="15.75" x14ac:dyDescent="0.25">
      <c r="B259" s="10" t="s">
        <v>74</v>
      </c>
      <c r="C259" s="8"/>
      <c r="D259" s="7"/>
      <c r="E259" s="7"/>
      <c r="F259" s="7"/>
      <c r="G259" s="7"/>
    </row>
    <row r="260" spans="1:7" ht="15.75" x14ac:dyDescent="0.25">
      <c r="B260" s="10"/>
      <c r="C260" s="7"/>
      <c r="D260" s="7"/>
      <c r="E260" s="7"/>
      <c r="F260" s="7"/>
      <c r="G260" s="7"/>
    </row>
    <row r="261" spans="1:7" ht="15.75" x14ac:dyDescent="0.25">
      <c r="B261" s="10"/>
      <c r="C261" s="7"/>
      <c r="D261" s="7"/>
      <c r="E261" s="7"/>
      <c r="F261" s="7"/>
      <c r="G261" s="7"/>
    </row>
    <row r="262" spans="1:7" ht="15.75" x14ac:dyDescent="0.25">
      <c r="B262" s="11" t="s">
        <v>73</v>
      </c>
      <c r="C262" s="7"/>
      <c r="D262" s="7"/>
      <c r="E262" s="7"/>
      <c r="F262" s="7"/>
      <c r="G262" s="7"/>
    </row>
    <row r="263" spans="1:7" ht="31.5" x14ac:dyDescent="0.25">
      <c r="A263" s="5" t="s">
        <v>301</v>
      </c>
      <c r="B263" s="10" t="s">
        <v>72</v>
      </c>
      <c r="C263" s="8"/>
      <c r="D263" s="7"/>
      <c r="E263" s="7"/>
      <c r="F263" s="7"/>
      <c r="G263" s="7"/>
    </row>
    <row r="264" spans="1:7" ht="47.25" x14ac:dyDescent="0.25">
      <c r="A264" s="5" t="s">
        <v>301</v>
      </c>
      <c r="B264" s="10" t="s">
        <v>71</v>
      </c>
      <c r="C264" s="8"/>
      <c r="D264" s="7"/>
      <c r="E264" s="7"/>
      <c r="F264" s="7"/>
      <c r="G264" s="7"/>
    </row>
    <row r="265" spans="1:7" ht="31.5" x14ac:dyDescent="0.25">
      <c r="A265" s="5" t="s">
        <v>301</v>
      </c>
      <c r="B265" s="10" t="s">
        <v>70</v>
      </c>
      <c r="C265" s="8"/>
      <c r="D265" s="7"/>
      <c r="E265" s="7"/>
      <c r="F265" s="7"/>
      <c r="G265" s="7"/>
    </row>
    <row r="266" spans="1:7" ht="31.5" x14ac:dyDescent="0.25">
      <c r="A266" s="5" t="s">
        <v>301</v>
      </c>
      <c r="B266" s="10" t="s">
        <v>69</v>
      </c>
      <c r="C266" s="8"/>
      <c r="D266" s="7"/>
      <c r="E266" s="7"/>
      <c r="F266" s="7"/>
      <c r="G266" s="7"/>
    </row>
    <row r="267" spans="1:7" ht="47.25" x14ac:dyDescent="0.25">
      <c r="A267" s="5" t="s">
        <v>301</v>
      </c>
      <c r="B267" s="10" t="s">
        <v>68</v>
      </c>
      <c r="C267" s="8"/>
      <c r="D267" s="7"/>
      <c r="E267" s="7"/>
      <c r="F267" s="7"/>
      <c r="G267" s="7"/>
    </row>
    <row r="268" spans="1:7" ht="31.5" x14ac:dyDescent="0.25">
      <c r="A268" s="5" t="s">
        <v>319</v>
      </c>
      <c r="B268" s="10" t="s">
        <v>67</v>
      </c>
      <c r="C268" s="8"/>
      <c r="D268" s="7"/>
      <c r="E268" s="7"/>
      <c r="F268" s="7"/>
      <c r="G268" s="7"/>
    </row>
    <row r="269" spans="1:7" ht="31.5" x14ac:dyDescent="0.25">
      <c r="A269" s="5" t="s">
        <v>319</v>
      </c>
      <c r="B269" s="10" t="s">
        <v>66</v>
      </c>
      <c r="C269" s="8"/>
      <c r="D269" s="7"/>
      <c r="E269" s="7"/>
      <c r="F269" s="7"/>
      <c r="G269" s="7"/>
    </row>
    <row r="270" spans="1:7" ht="15.75" x14ac:dyDescent="0.25">
      <c r="B270" s="10" t="s">
        <v>65</v>
      </c>
      <c r="C270" s="8"/>
      <c r="D270" s="7"/>
      <c r="E270" s="7"/>
      <c r="F270" s="7"/>
      <c r="G270" s="7"/>
    </row>
    <row r="271" spans="1:7" ht="31.5" x14ac:dyDescent="0.25">
      <c r="A271" s="5" t="s">
        <v>301</v>
      </c>
      <c r="B271" s="9" t="s">
        <v>64</v>
      </c>
      <c r="C271" s="8"/>
      <c r="D271" s="7"/>
      <c r="E271" s="7"/>
      <c r="F271" s="7"/>
      <c r="G271" s="7"/>
    </row>
    <row r="272" spans="1:7" x14ac:dyDescent="0.2">
      <c r="B272" s="6"/>
    </row>
    <row r="273" spans="2:2" x14ac:dyDescent="0.2">
      <c r="B273" s="6"/>
    </row>
    <row r="274" spans="2:2" x14ac:dyDescent="0.2">
      <c r="B274" s="6"/>
    </row>
    <row r="275" spans="2:2" x14ac:dyDescent="0.2">
      <c r="B275" s="6"/>
    </row>
    <row r="276" spans="2:2" x14ac:dyDescent="0.2">
      <c r="B276" s="6"/>
    </row>
    <row r="277" spans="2:2" x14ac:dyDescent="0.2">
      <c r="B277" s="6"/>
    </row>
    <row r="278" spans="2:2" x14ac:dyDescent="0.2">
      <c r="B278" s="6"/>
    </row>
    <row r="279" spans="2:2" x14ac:dyDescent="0.2">
      <c r="B279" s="6"/>
    </row>
    <row r="280" spans="2:2" x14ac:dyDescent="0.2">
      <c r="B280" s="6"/>
    </row>
    <row r="281" spans="2:2" x14ac:dyDescent="0.2">
      <c r="B281" s="6"/>
    </row>
    <row r="282" spans="2:2" x14ac:dyDescent="0.2">
      <c r="B282" s="6"/>
    </row>
    <row r="283" spans="2:2" x14ac:dyDescent="0.2">
      <c r="B283" s="6"/>
    </row>
    <row r="284" spans="2:2" x14ac:dyDescent="0.2">
      <c r="B284" s="6"/>
    </row>
    <row r="285" spans="2:2" x14ac:dyDescent="0.2">
      <c r="B285" s="6"/>
    </row>
    <row r="286" spans="2:2" x14ac:dyDescent="0.2">
      <c r="B286" s="6"/>
    </row>
    <row r="287" spans="2:2" x14ac:dyDescent="0.2">
      <c r="B287" s="6"/>
    </row>
    <row r="288" spans="2:2" x14ac:dyDescent="0.2">
      <c r="B288" s="6"/>
    </row>
    <row r="289" spans="2:2" x14ac:dyDescent="0.2">
      <c r="B289" s="6"/>
    </row>
    <row r="290" spans="2:2" x14ac:dyDescent="0.2">
      <c r="B290" s="6"/>
    </row>
    <row r="291" spans="2:2" x14ac:dyDescent="0.2">
      <c r="B291" s="6"/>
    </row>
    <row r="292" spans="2:2" x14ac:dyDescent="0.2">
      <c r="B292" s="6"/>
    </row>
    <row r="293" spans="2:2" x14ac:dyDescent="0.2">
      <c r="B293" s="6"/>
    </row>
    <row r="294" spans="2:2" x14ac:dyDescent="0.2">
      <c r="B294" s="6"/>
    </row>
    <row r="295" spans="2:2" x14ac:dyDescent="0.2">
      <c r="B295" s="6"/>
    </row>
    <row r="296" spans="2:2" x14ac:dyDescent="0.2">
      <c r="B296" s="6"/>
    </row>
    <row r="297" spans="2:2" x14ac:dyDescent="0.2">
      <c r="B297" s="6"/>
    </row>
    <row r="298" spans="2:2" x14ac:dyDescent="0.2">
      <c r="B298" s="6"/>
    </row>
    <row r="299" spans="2:2" x14ac:dyDescent="0.2">
      <c r="B299" s="6"/>
    </row>
    <row r="300" spans="2:2" x14ac:dyDescent="0.2">
      <c r="B300" s="6"/>
    </row>
    <row r="301" spans="2:2" x14ac:dyDescent="0.2">
      <c r="B301" s="6"/>
    </row>
    <row r="302" spans="2:2" x14ac:dyDescent="0.2">
      <c r="B302" s="6"/>
    </row>
    <row r="303" spans="2:2" x14ac:dyDescent="0.2">
      <c r="B303" s="6"/>
    </row>
    <row r="304" spans="2:2" x14ac:dyDescent="0.2">
      <c r="B304" s="6"/>
    </row>
    <row r="305" spans="2:2" x14ac:dyDescent="0.2">
      <c r="B305" s="6"/>
    </row>
    <row r="306" spans="2:2" x14ac:dyDescent="0.2">
      <c r="B306" s="6"/>
    </row>
    <row r="307" spans="2:2" x14ac:dyDescent="0.2">
      <c r="B307" s="6"/>
    </row>
    <row r="308" spans="2:2" x14ac:dyDescent="0.2">
      <c r="B308" s="6"/>
    </row>
    <row r="309" spans="2:2" x14ac:dyDescent="0.2">
      <c r="B309" s="6"/>
    </row>
    <row r="310" spans="2:2" x14ac:dyDescent="0.2">
      <c r="B310" s="6"/>
    </row>
    <row r="311" spans="2:2" x14ac:dyDescent="0.2">
      <c r="B311" s="6"/>
    </row>
    <row r="312" spans="2:2" x14ac:dyDescent="0.2">
      <c r="B312" s="6"/>
    </row>
    <row r="313" spans="2:2" x14ac:dyDescent="0.2">
      <c r="B313" s="6"/>
    </row>
    <row r="314" spans="2:2" x14ac:dyDescent="0.2">
      <c r="B314" s="6"/>
    </row>
    <row r="315" spans="2:2" x14ac:dyDescent="0.2">
      <c r="B315" s="6"/>
    </row>
    <row r="316" spans="2:2" x14ac:dyDescent="0.2">
      <c r="B316" s="6"/>
    </row>
    <row r="317" spans="2:2" x14ac:dyDescent="0.2">
      <c r="B317" s="6"/>
    </row>
    <row r="318" spans="2:2" x14ac:dyDescent="0.2">
      <c r="B318" s="6"/>
    </row>
    <row r="319" spans="2:2" x14ac:dyDescent="0.2">
      <c r="B319" s="6"/>
    </row>
    <row r="320" spans="2:2" x14ac:dyDescent="0.2">
      <c r="B320" s="6"/>
    </row>
    <row r="321" spans="2:2" x14ac:dyDescent="0.2">
      <c r="B321" s="6"/>
    </row>
    <row r="322" spans="2:2" x14ac:dyDescent="0.2">
      <c r="B322" s="6"/>
    </row>
    <row r="323" spans="2:2" x14ac:dyDescent="0.2">
      <c r="B323" s="6"/>
    </row>
    <row r="324" spans="2:2" x14ac:dyDescent="0.2">
      <c r="B324" s="6"/>
    </row>
    <row r="325" spans="2:2" x14ac:dyDescent="0.2">
      <c r="B325" s="6"/>
    </row>
    <row r="326" spans="2:2" x14ac:dyDescent="0.2">
      <c r="B326" s="6"/>
    </row>
    <row r="327" spans="2:2" x14ac:dyDescent="0.2">
      <c r="B327" s="6"/>
    </row>
    <row r="328" spans="2:2" x14ac:dyDescent="0.2">
      <c r="B328" s="6"/>
    </row>
    <row r="329" spans="2:2" x14ac:dyDescent="0.2">
      <c r="B329" s="6"/>
    </row>
    <row r="330" spans="2:2" x14ac:dyDescent="0.2">
      <c r="B330" s="6"/>
    </row>
    <row r="331" spans="2:2" x14ac:dyDescent="0.2">
      <c r="B331" s="6"/>
    </row>
    <row r="332" spans="2:2" x14ac:dyDescent="0.2">
      <c r="B332" s="6"/>
    </row>
    <row r="333" spans="2:2" x14ac:dyDescent="0.2">
      <c r="B333" s="6"/>
    </row>
    <row r="334" spans="2:2" x14ac:dyDescent="0.2">
      <c r="B334" s="6"/>
    </row>
    <row r="335" spans="2:2" x14ac:dyDescent="0.2">
      <c r="B335" s="6"/>
    </row>
    <row r="336" spans="2:2" x14ac:dyDescent="0.2">
      <c r="B336" s="6"/>
    </row>
    <row r="337" spans="2:2" x14ac:dyDescent="0.2">
      <c r="B337" s="6"/>
    </row>
    <row r="338" spans="2:2" x14ac:dyDescent="0.2">
      <c r="B338" s="6"/>
    </row>
    <row r="339" spans="2:2" x14ac:dyDescent="0.2">
      <c r="B339" s="6"/>
    </row>
    <row r="340" spans="2:2" x14ac:dyDescent="0.2">
      <c r="B340" s="6"/>
    </row>
    <row r="341" spans="2:2" x14ac:dyDescent="0.2">
      <c r="B341" s="6"/>
    </row>
    <row r="342" spans="2:2" x14ac:dyDescent="0.2">
      <c r="B342" s="6"/>
    </row>
    <row r="343" spans="2:2" x14ac:dyDescent="0.2">
      <c r="B343" s="6"/>
    </row>
    <row r="344" spans="2:2" x14ac:dyDescent="0.2">
      <c r="B344" s="6"/>
    </row>
    <row r="345" spans="2:2" x14ac:dyDescent="0.2">
      <c r="B345" s="6"/>
    </row>
    <row r="346" spans="2:2" x14ac:dyDescent="0.2">
      <c r="B346" s="6"/>
    </row>
    <row r="347" spans="2:2" x14ac:dyDescent="0.2">
      <c r="B347" s="6"/>
    </row>
    <row r="348" spans="2:2" x14ac:dyDescent="0.2">
      <c r="B348" s="6"/>
    </row>
    <row r="349" spans="2:2" x14ac:dyDescent="0.2">
      <c r="B349" s="6"/>
    </row>
    <row r="350" spans="2:2" x14ac:dyDescent="0.2">
      <c r="B350" s="6"/>
    </row>
    <row r="351" spans="2:2" x14ac:dyDescent="0.2">
      <c r="B351" s="6"/>
    </row>
    <row r="352" spans="2:2" x14ac:dyDescent="0.2">
      <c r="B352" s="6"/>
    </row>
    <row r="353" spans="2:2" x14ac:dyDescent="0.2">
      <c r="B353" s="6"/>
    </row>
    <row r="354" spans="2:2" x14ac:dyDescent="0.2">
      <c r="B354" s="6"/>
    </row>
    <row r="355" spans="2:2" x14ac:dyDescent="0.2">
      <c r="B355" s="6"/>
    </row>
    <row r="356" spans="2:2" x14ac:dyDescent="0.2">
      <c r="B356" s="6"/>
    </row>
    <row r="357" spans="2:2" x14ac:dyDescent="0.2">
      <c r="B357" s="6"/>
    </row>
    <row r="358" spans="2:2" x14ac:dyDescent="0.2">
      <c r="B358" s="6"/>
    </row>
    <row r="359" spans="2:2" x14ac:dyDescent="0.2">
      <c r="B359" s="6"/>
    </row>
    <row r="360" spans="2:2" x14ac:dyDescent="0.2">
      <c r="B360" s="6"/>
    </row>
    <row r="361" spans="2:2" x14ac:dyDescent="0.2">
      <c r="B361" s="6"/>
    </row>
    <row r="362" spans="2:2" x14ac:dyDescent="0.2">
      <c r="B362" s="6"/>
    </row>
    <row r="363" spans="2:2" x14ac:dyDescent="0.2">
      <c r="B363" s="6"/>
    </row>
    <row r="364" spans="2:2" x14ac:dyDescent="0.2">
      <c r="B364" s="6"/>
    </row>
    <row r="365" spans="2:2" x14ac:dyDescent="0.2">
      <c r="B365" s="6"/>
    </row>
    <row r="366" spans="2:2" x14ac:dyDescent="0.2">
      <c r="B366" s="6"/>
    </row>
    <row r="367" spans="2:2" x14ac:dyDescent="0.2">
      <c r="B367" s="6"/>
    </row>
    <row r="368" spans="2:2" x14ac:dyDescent="0.2">
      <c r="B368" s="6"/>
    </row>
    <row r="369" spans="2:2" x14ac:dyDescent="0.2">
      <c r="B369" s="6"/>
    </row>
    <row r="370" spans="2:2" x14ac:dyDescent="0.2">
      <c r="B370" s="6"/>
    </row>
    <row r="371" spans="2:2" x14ac:dyDescent="0.2">
      <c r="B371" s="6"/>
    </row>
    <row r="372" spans="2:2" x14ac:dyDescent="0.2">
      <c r="B372" s="6"/>
    </row>
    <row r="373" spans="2:2" x14ac:dyDescent="0.2">
      <c r="B373" s="6"/>
    </row>
    <row r="374" spans="2:2" x14ac:dyDescent="0.2">
      <c r="B374" s="6"/>
    </row>
    <row r="375" spans="2:2" x14ac:dyDescent="0.2">
      <c r="B375" s="6"/>
    </row>
    <row r="376" spans="2:2" x14ac:dyDescent="0.2">
      <c r="B376" s="6"/>
    </row>
    <row r="377" spans="2:2" x14ac:dyDescent="0.2">
      <c r="B377" s="6"/>
    </row>
    <row r="378" spans="2:2" x14ac:dyDescent="0.2">
      <c r="B378" s="6"/>
    </row>
    <row r="379" spans="2:2" x14ac:dyDescent="0.2">
      <c r="B379" s="6"/>
    </row>
    <row r="380" spans="2:2" x14ac:dyDescent="0.2">
      <c r="B380" s="6"/>
    </row>
    <row r="381" spans="2:2" x14ac:dyDescent="0.2">
      <c r="B381" s="6"/>
    </row>
    <row r="382" spans="2:2" x14ac:dyDescent="0.2">
      <c r="B382" s="6"/>
    </row>
    <row r="383" spans="2:2" x14ac:dyDescent="0.2">
      <c r="B383" s="6"/>
    </row>
    <row r="384" spans="2:2" x14ac:dyDescent="0.2">
      <c r="B384" s="6"/>
    </row>
    <row r="385" spans="2:2" x14ac:dyDescent="0.2">
      <c r="B385" s="6"/>
    </row>
    <row r="386" spans="2:2" x14ac:dyDescent="0.2">
      <c r="B386" s="6"/>
    </row>
    <row r="387" spans="2:2" x14ac:dyDescent="0.2">
      <c r="B387" s="6"/>
    </row>
    <row r="388" spans="2:2" x14ac:dyDescent="0.2">
      <c r="B388" s="6"/>
    </row>
    <row r="389" spans="2:2" x14ac:dyDescent="0.2">
      <c r="B389" s="6"/>
    </row>
    <row r="390" spans="2:2" x14ac:dyDescent="0.2">
      <c r="B390" s="6"/>
    </row>
    <row r="391" spans="2:2" x14ac:dyDescent="0.2">
      <c r="B391" s="6"/>
    </row>
    <row r="392" spans="2:2" x14ac:dyDescent="0.2">
      <c r="B392" s="6"/>
    </row>
    <row r="393" spans="2:2" x14ac:dyDescent="0.2">
      <c r="B393" s="6"/>
    </row>
    <row r="394" spans="2:2" x14ac:dyDescent="0.2">
      <c r="B394" s="6"/>
    </row>
    <row r="395" spans="2:2" x14ac:dyDescent="0.2">
      <c r="B395" s="6"/>
    </row>
    <row r="396" spans="2:2" x14ac:dyDescent="0.2">
      <c r="B396" s="6"/>
    </row>
    <row r="397" spans="2:2" x14ac:dyDescent="0.2">
      <c r="B397" s="6"/>
    </row>
    <row r="398" spans="2:2" x14ac:dyDescent="0.2">
      <c r="B398" s="6"/>
    </row>
    <row r="399" spans="2:2" x14ac:dyDescent="0.2">
      <c r="B399" s="6"/>
    </row>
    <row r="400" spans="2:2" x14ac:dyDescent="0.2">
      <c r="B400" s="6"/>
    </row>
    <row r="401" spans="2:2" x14ac:dyDescent="0.2">
      <c r="B401" s="6"/>
    </row>
    <row r="402" spans="2:2" x14ac:dyDescent="0.2">
      <c r="B402" s="6"/>
    </row>
    <row r="403" spans="2:2" x14ac:dyDescent="0.2">
      <c r="B403" s="6"/>
    </row>
    <row r="404" spans="2:2" x14ac:dyDescent="0.2">
      <c r="B404" s="6"/>
    </row>
    <row r="405" spans="2:2" x14ac:dyDescent="0.2">
      <c r="B405" s="6"/>
    </row>
    <row r="406" spans="2:2" x14ac:dyDescent="0.2">
      <c r="B406" s="6"/>
    </row>
    <row r="407" spans="2:2" x14ac:dyDescent="0.2">
      <c r="B407" s="6"/>
    </row>
    <row r="408" spans="2:2" x14ac:dyDescent="0.2">
      <c r="B408" s="6"/>
    </row>
    <row r="409" spans="2:2" x14ac:dyDescent="0.2">
      <c r="B409" s="6"/>
    </row>
    <row r="410" spans="2:2" x14ac:dyDescent="0.2">
      <c r="B410" s="6"/>
    </row>
    <row r="411" spans="2:2" x14ac:dyDescent="0.2">
      <c r="B411" s="6"/>
    </row>
    <row r="412" spans="2:2" x14ac:dyDescent="0.2">
      <c r="B412" s="6"/>
    </row>
    <row r="413" spans="2:2" x14ac:dyDescent="0.2">
      <c r="B413" s="6"/>
    </row>
    <row r="414" spans="2:2" x14ac:dyDescent="0.2">
      <c r="B414" s="6"/>
    </row>
    <row r="415" spans="2:2" x14ac:dyDescent="0.2">
      <c r="B415" s="6"/>
    </row>
    <row r="416" spans="2:2" x14ac:dyDescent="0.2">
      <c r="B416" s="6"/>
    </row>
    <row r="417" spans="2:2" x14ac:dyDescent="0.2">
      <c r="B417" s="6"/>
    </row>
    <row r="418" spans="2:2" x14ac:dyDescent="0.2">
      <c r="B418" s="6"/>
    </row>
    <row r="419" spans="2:2" x14ac:dyDescent="0.2">
      <c r="B419" s="6"/>
    </row>
    <row r="420" spans="2:2" x14ac:dyDescent="0.2">
      <c r="B420" s="6"/>
    </row>
    <row r="421" spans="2:2" x14ac:dyDescent="0.2">
      <c r="B421" s="6"/>
    </row>
    <row r="422" spans="2:2" x14ac:dyDescent="0.2">
      <c r="B422" s="6"/>
    </row>
    <row r="423" spans="2:2" x14ac:dyDescent="0.2">
      <c r="B423" s="6"/>
    </row>
    <row r="424" spans="2:2" x14ac:dyDescent="0.2">
      <c r="B424" s="6"/>
    </row>
    <row r="425" spans="2:2" x14ac:dyDescent="0.2">
      <c r="B425" s="6"/>
    </row>
    <row r="426" spans="2:2" x14ac:dyDescent="0.2">
      <c r="B426" s="6"/>
    </row>
    <row r="427" spans="2:2" x14ac:dyDescent="0.2">
      <c r="B427" s="6"/>
    </row>
    <row r="428" spans="2:2" x14ac:dyDescent="0.2">
      <c r="B428" s="6"/>
    </row>
    <row r="429" spans="2:2" x14ac:dyDescent="0.2">
      <c r="B429" s="6"/>
    </row>
    <row r="430" spans="2:2" x14ac:dyDescent="0.2">
      <c r="B430" s="6"/>
    </row>
    <row r="431" spans="2:2" x14ac:dyDescent="0.2">
      <c r="B431" s="6"/>
    </row>
    <row r="432" spans="2:2" x14ac:dyDescent="0.2">
      <c r="B432" s="6"/>
    </row>
    <row r="433" spans="2:2" x14ac:dyDescent="0.2">
      <c r="B433" s="6"/>
    </row>
    <row r="434" spans="2:2" x14ac:dyDescent="0.2">
      <c r="B434" s="6"/>
    </row>
    <row r="435" spans="2:2" x14ac:dyDescent="0.2">
      <c r="B435" s="6"/>
    </row>
    <row r="436" spans="2:2" x14ac:dyDescent="0.2">
      <c r="B436" s="6"/>
    </row>
    <row r="437" spans="2:2" x14ac:dyDescent="0.2">
      <c r="B437" s="6"/>
    </row>
    <row r="438" spans="2:2" x14ac:dyDescent="0.2">
      <c r="B438" s="6"/>
    </row>
    <row r="439" spans="2:2" x14ac:dyDescent="0.2">
      <c r="B439" s="6"/>
    </row>
    <row r="440" spans="2:2" x14ac:dyDescent="0.2">
      <c r="B440" s="6"/>
    </row>
    <row r="441" spans="2:2" x14ac:dyDescent="0.2">
      <c r="B441" s="6"/>
    </row>
    <row r="442" spans="2:2" x14ac:dyDescent="0.2">
      <c r="B442" s="6"/>
    </row>
    <row r="443" spans="2:2" x14ac:dyDescent="0.2">
      <c r="B443" s="6"/>
    </row>
    <row r="444" spans="2:2" x14ac:dyDescent="0.2">
      <c r="B444" s="6"/>
    </row>
    <row r="445" spans="2:2" x14ac:dyDescent="0.2">
      <c r="B445" s="6"/>
    </row>
    <row r="446" spans="2:2" x14ac:dyDescent="0.2">
      <c r="B446" s="6"/>
    </row>
    <row r="447" spans="2:2" x14ac:dyDescent="0.2">
      <c r="B447" s="6"/>
    </row>
    <row r="448" spans="2:2" x14ac:dyDescent="0.2">
      <c r="B448" s="6"/>
    </row>
    <row r="449" spans="2:2" x14ac:dyDescent="0.2">
      <c r="B449" s="6"/>
    </row>
    <row r="450" spans="2:2" x14ac:dyDescent="0.2">
      <c r="B450" s="6"/>
    </row>
    <row r="451" spans="2:2" x14ac:dyDescent="0.2">
      <c r="B451" s="6"/>
    </row>
    <row r="452" spans="2:2" x14ac:dyDescent="0.2">
      <c r="B452" s="6"/>
    </row>
    <row r="453" spans="2:2" x14ac:dyDescent="0.2">
      <c r="B453" s="6"/>
    </row>
    <row r="454" spans="2:2" x14ac:dyDescent="0.2">
      <c r="B454" s="6"/>
    </row>
    <row r="455" spans="2:2" x14ac:dyDescent="0.2">
      <c r="B455" s="6"/>
    </row>
    <row r="456" spans="2:2" x14ac:dyDescent="0.2">
      <c r="B456" s="6"/>
    </row>
    <row r="457" spans="2:2" x14ac:dyDescent="0.2">
      <c r="B457" s="6"/>
    </row>
    <row r="458" spans="2:2" x14ac:dyDescent="0.2">
      <c r="B458" s="6"/>
    </row>
    <row r="459" spans="2:2" x14ac:dyDescent="0.2">
      <c r="B459" s="6"/>
    </row>
    <row r="460" spans="2:2" x14ac:dyDescent="0.2">
      <c r="B460" s="6"/>
    </row>
    <row r="461" spans="2:2" x14ac:dyDescent="0.2">
      <c r="B461" s="6"/>
    </row>
    <row r="462" spans="2:2" x14ac:dyDescent="0.2">
      <c r="B462" s="6"/>
    </row>
    <row r="463" spans="2:2" x14ac:dyDescent="0.2">
      <c r="B463" s="6"/>
    </row>
    <row r="464" spans="2:2" x14ac:dyDescent="0.2">
      <c r="B464" s="6"/>
    </row>
    <row r="465" spans="2:2" x14ac:dyDescent="0.2">
      <c r="B465" s="6"/>
    </row>
    <row r="466" spans="2:2" x14ac:dyDescent="0.2">
      <c r="B466" s="6"/>
    </row>
    <row r="467" spans="2:2" x14ac:dyDescent="0.2">
      <c r="B467" s="6"/>
    </row>
    <row r="468" spans="2:2" x14ac:dyDescent="0.2">
      <c r="B468" s="6"/>
    </row>
    <row r="469" spans="2:2" x14ac:dyDescent="0.2">
      <c r="B469" s="6"/>
    </row>
    <row r="470" spans="2:2" x14ac:dyDescent="0.2">
      <c r="B470" s="6"/>
    </row>
  </sheetData>
  <pageMargins left="0.75" right="0.75" top="1" bottom="1" header="0.5" footer="0.5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21"/>
  <sheetViews>
    <sheetView workbookViewId="0">
      <selection activeCell="H21" sqref="H21"/>
    </sheetView>
  </sheetViews>
  <sheetFormatPr baseColWidth="10" defaultRowHeight="15" x14ac:dyDescent="0.25"/>
  <cols>
    <col min="13" max="13" width="18.28515625" bestFit="1" customWidth="1"/>
  </cols>
  <sheetData>
    <row r="2" spans="2:14" x14ac:dyDescent="0.25">
      <c r="M2" s="4" t="s">
        <v>354</v>
      </c>
      <c r="N2" s="61">
        <v>700000</v>
      </c>
    </row>
    <row r="3" spans="2:14" x14ac:dyDescent="0.25">
      <c r="D3" s="431" t="s">
        <v>351</v>
      </c>
      <c r="E3" s="431"/>
      <c r="F3" s="431" t="s">
        <v>352</v>
      </c>
      <c r="G3" s="431"/>
      <c r="M3" s="4" t="s">
        <v>355</v>
      </c>
      <c r="N3" s="61">
        <v>700000</v>
      </c>
    </row>
    <row r="4" spans="2:14" x14ac:dyDescent="0.25">
      <c r="B4" s="4"/>
      <c r="C4" s="4" t="s">
        <v>350</v>
      </c>
      <c r="D4" s="4" t="s">
        <v>358</v>
      </c>
      <c r="E4" s="4" t="s">
        <v>359</v>
      </c>
      <c r="F4" s="4" t="s">
        <v>352</v>
      </c>
      <c r="G4" s="4" t="s">
        <v>359</v>
      </c>
      <c r="H4" s="59" t="s">
        <v>353</v>
      </c>
      <c r="M4" s="4" t="s">
        <v>357</v>
      </c>
      <c r="N4" s="61">
        <v>900000</v>
      </c>
    </row>
    <row r="5" spans="2:14" x14ac:dyDescent="0.25">
      <c r="B5" s="60">
        <v>42887</v>
      </c>
      <c r="C5" s="61">
        <v>2500000</v>
      </c>
      <c r="D5" s="61">
        <v>3200000</v>
      </c>
      <c r="E5" s="61"/>
      <c r="F5" s="61">
        <f>+N3</f>
        <v>700000</v>
      </c>
      <c r="G5" s="61">
        <f>70000+32000</f>
        <v>102000</v>
      </c>
      <c r="H5" s="61">
        <f>+C5+D5-F5-G5</f>
        <v>4898000</v>
      </c>
      <c r="M5" s="4" t="s">
        <v>361</v>
      </c>
      <c r="N5" s="61">
        <v>400000</v>
      </c>
    </row>
    <row r="6" spans="2:14" x14ac:dyDescent="0.25">
      <c r="B6" s="60">
        <v>42917</v>
      </c>
      <c r="C6" s="61"/>
      <c r="D6" s="61">
        <v>3200000</v>
      </c>
      <c r="E6" s="61">
        <f>+$N$5+$N$6</f>
        <v>660000</v>
      </c>
      <c r="F6" s="61">
        <f>+N3</f>
        <v>700000</v>
      </c>
      <c r="G6" s="61">
        <f t="shared" ref="G6:G21" si="0">70000+32000</f>
        <v>102000</v>
      </c>
      <c r="H6" s="61">
        <f>+C6+D6-F6+H5-G6+E6</f>
        <v>7956000</v>
      </c>
      <c r="M6" s="4" t="s">
        <v>362</v>
      </c>
      <c r="N6" s="61">
        <v>260000</v>
      </c>
    </row>
    <row r="7" spans="2:14" x14ac:dyDescent="0.25">
      <c r="B7" s="60">
        <v>42948</v>
      </c>
      <c r="C7" s="61"/>
      <c r="D7" s="61">
        <v>3200000</v>
      </c>
      <c r="E7" s="61">
        <f t="shared" ref="E7:E21" si="1">+$N$5+$N$6</f>
        <v>660000</v>
      </c>
      <c r="F7" s="61">
        <f>+N3</f>
        <v>700000</v>
      </c>
      <c r="G7" s="61">
        <f t="shared" si="0"/>
        <v>102000</v>
      </c>
      <c r="H7" s="61">
        <f t="shared" ref="H7:H21" si="2">+C7+D7-F7+H6-G7+E7</f>
        <v>11014000</v>
      </c>
    </row>
    <row r="8" spans="2:14" x14ac:dyDescent="0.25">
      <c r="B8" s="60">
        <v>42979</v>
      </c>
      <c r="C8" s="61"/>
      <c r="D8" s="61">
        <v>3200000</v>
      </c>
      <c r="E8" s="61">
        <f t="shared" si="1"/>
        <v>660000</v>
      </c>
      <c r="F8" s="61">
        <f>+N3</f>
        <v>700000</v>
      </c>
      <c r="G8" s="61">
        <f t="shared" si="0"/>
        <v>102000</v>
      </c>
      <c r="H8" s="61">
        <f t="shared" si="2"/>
        <v>14072000</v>
      </c>
      <c r="I8" t="s">
        <v>360</v>
      </c>
    </row>
    <row r="9" spans="2:14" x14ac:dyDescent="0.25">
      <c r="B9" s="60">
        <v>43009</v>
      </c>
      <c r="C9" s="61"/>
      <c r="D9" s="61">
        <v>3200000</v>
      </c>
      <c r="E9" s="61">
        <f t="shared" si="1"/>
        <v>660000</v>
      </c>
      <c r="F9" s="61">
        <f>+$N$3+$N$2</f>
        <v>1400000</v>
      </c>
      <c r="G9" s="61">
        <f t="shared" si="0"/>
        <v>102000</v>
      </c>
      <c r="H9" s="61">
        <f t="shared" si="2"/>
        <v>16430000</v>
      </c>
    </row>
    <row r="10" spans="2:14" x14ac:dyDescent="0.25">
      <c r="B10" s="60">
        <v>43040</v>
      </c>
      <c r="C10" s="61"/>
      <c r="D10" s="61">
        <v>3200000</v>
      </c>
      <c r="E10" s="61">
        <f t="shared" si="1"/>
        <v>660000</v>
      </c>
      <c r="F10" s="61">
        <f>+$N$3+$N$2+$N$4</f>
        <v>2300000</v>
      </c>
      <c r="G10" s="61">
        <f t="shared" si="0"/>
        <v>102000</v>
      </c>
      <c r="H10" s="61">
        <f t="shared" si="2"/>
        <v>17888000</v>
      </c>
    </row>
    <row r="11" spans="2:14" x14ac:dyDescent="0.25">
      <c r="B11" s="60">
        <v>43070</v>
      </c>
      <c r="C11" s="61"/>
      <c r="D11" s="61">
        <v>3200000</v>
      </c>
      <c r="E11" s="61">
        <f t="shared" si="1"/>
        <v>660000</v>
      </c>
      <c r="F11" s="61">
        <f t="shared" ref="F11:F21" si="3">+$N$3+$N$2+$N$4</f>
        <v>2300000</v>
      </c>
      <c r="G11" s="61">
        <f t="shared" si="0"/>
        <v>102000</v>
      </c>
      <c r="H11" s="61">
        <f t="shared" si="2"/>
        <v>19346000</v>
      </c>
    </row>
    <row r="12" spans="2:14" x14ac:dyDescent="0.25">
      <c r="B12" s="60">
        <v>43101</v>
      </c>
      <c r="C12" s="61"/>
      <c r="D12" s="61">
        <v>3200000</v>
      </c>
      <c r="E12" s="61">
        <f t="shared" si="1"/>
        <v>660000</v>
      </c>
      <c r="F12" s="61">
        <f t="shared" si="3"/>
        <v>2300000</v>
      </c>
      <c r="G12" s="61">
        <f t="shared" si="0"/>
        <v>102000</v>
      </c>
      <c r="H12" s="61">
        <f t="shared" si="2"/>
        <v>20804000</v>
      </c>
    </row>
    <row r="13" spans="2:14" x14ac:dyDescent="0.25">
      <c r="B13" s="60">
        <v>43132</v>
      </c>
      <c r="C13" s="61"/>
      <c r="D13" s="61">
        <v>3200000</v>
      </c>
      <c r="E13" s="61">
        <f t="shared" si="1"/>
        <v>660000</v>
      </c>
      <c r="F13" s="61">
        <f t="shared" si="3"/>
        <v>2300000</v>
      </c>
      <c r="G13" s="61">
        <f t="shared" si="0"/>
        <v>102000</v>
      </c>
      <c r="H13" s="61">
        <f t="shared" si="2"/>
        <v>22262000</v>
      </c>
    </row>
    <row r="14" spans="2:14" x14ac:dyDescent="0.25">
      <c r="B14" s="60">
        <v>43160</v>
      </c>
      <c r="C14" s="61"/>
      <c r="D14" s="61">
        <v>2000000</v>
      </c>
      <c r="E14" s="61">
        <f t="shared" si="1"/>
        <v>660000</v>
      </c>
      <c r="F14" s="61">
        <f t="shared" si="3"/>
        <v>2300000</v>
      </c>
      <c r="G14" s="61">
        <f t="shared" si="0"/>
        <v>102000</v>
      </c>
      <c r="H14" s="61">
        <f t="shared" si="2"/>
        <v>22520000</v>
      </c>
      <c r="I14" t="s">
        <v>363</v>
      </c>
    </row>
    <row r="15" spans="2:14" x14ac:dyDescent="0.25">
      <c r="B15" s="60">
        <v>43191</v>
      </c>
      <c r="C15" s="61"/>
      <c r="D15" s="61">
        <v>2000000</v>
      </c>
      <c r="E15" s="61">
        <f t="shared" si="1"/>
        <v>660000</v>
      </c>
      <c r="F15" s="61">
        <f t="shared" si="3"/>
        <v>2300000</v>
      </c>
      <c r="G15" s="61">
        <f t="shared" si="0"/>
        <v>102000</v>
      </c>
      <c r="H15" s="61">
        <f t="shared" si="2"/>
        <v>22778000</v>
      </c>
    </row>
    <row r="16" spans="2:14" x14ac:dyDescent="0.25">
      <c r="B16" s="60">
        <v>43221</v>
      </c>
      <c r="C16" s="61"/>
      <c r="D16" s="61">
        <v>2000000</v>
      </c>
      <c r="E16" s="61">
        <f t="shared" si="1"/>
        <v>660000</v>
      </c>
      <c r="F16" s="61">
        <f t="shared" si="3"/>
        <v>2300000</v>
      </c>
      <c r="G16" s="61">
        <f t="shared" si="0"/>
        <v>102000</v>
      </c>
      <c r="H16" s="61">
        <f t="shared" si="2"/>
        <v>23036000</v>
      </c>
    </row>
    <row r="17" spans="2:9" x14ac:dyDescent="0.25">
      <c r="B17" s="60">
        <v>43252</v>
      </c>
      <c r="C17" s="61"/>
      <c r="D17" s="61">
        <v>2000000</v>
      </c>
      <c r="E17" s="61">
        <f t="shared" si="1"/>
        <v>660000</v>
      </c>
      <c r="F17" s="61">
        <f t="shared" si="3"/>
        <v>2300000</v>
      </c>
      <c r="G17" s="61">
        <f t="shared" si="0"/>
        <v>102000</v>
      </c>
      <c r="H17" s="61">
        <f t="shared" si="2"/>
        <v>23294000</v>
      </c>
    </row>
    <row r="18" spans="2:9" x14ac:dyDescent="0.25">
      <c r="B18" s="60">
        <v>43282</v>
      </c>
      <c r="C18" s="61"/>
      <c r="D18" s="61">
        <v>2000000</v>
      </c>
      <c r="E18" s="61">
        <f t="shared" si="1"/>
        <v>660000</v>
      </c>
      <c r="F18" s="61">
        <f t="shared" si="3"/>
        <v>2300000</v>
      </c>
      <c r="G18" s="61">
        <f t="shared" si="0"/>
        <v>102000</v>
      </c>
      <c r="H18" s="61">
        <f t="shared" si="2"/>
        <v>23552000</v>
      </c>
    </row>
    <row r="19" spans="2:9" x14ac:dyDescent="0.25">
      <c r="B19" s="60">
        <v>43313</v>
      </c>
      <c r="C19" s="61"/>
      <c r="D19" s="61">
        <v>2000000</v>
      </c>
      <c r="E19" s="61">
        <f t="shared" si="1"/>
        <v>660000</v>
      </c>
      <c r="F19" s="61">
        <f t="shared" si="3"/>
        <v>2300000</v>
      </c>
      <c r="G19" s="61">
        <f t="shared" si="0"/>
        <v>102000</v>
      </c>
      <c r="H19" s="61">
        <f t="shared" si="2"/>
        <v>23810000</v>
      </c>
    </row>
    <row r="20" spans="2:9" x14ac:dyDescent="0.25">
      <c r="B20" s="60">
        <v>43344</v>
      </c>
      <c r="C20" s="61"/>
      <c r="D20" s="61">
        <v>2000000</v>
      </c>
      <c r="E20" s="61">
        <f t="shared" si="1"/>
        <v>660000</v>
      </c>
      <c r="F20" s="61">
        <f t="shared" si="3"/>
        <v>2300000</v>
      </c>
      <c r="G20" s="61">
        <f t="shared" si="0"/>
        <v>102000</v>
      </c>
      <c r="H20" s="61">
        <f t="shared" si="2"/>
        <v>24068000</v>
      </c>
    </row>
    <row r="21" spans="2:9" x14ac:dyDescent="0.25">
      <c r="B21" s="60">
        <v>43374</v>
      </c>
      <c r="C21" s="61"/>
      <c r="D21" s="61">
        <v>2000000</v>
      </c>
      <c r="E21" s="61">
        <f t="shared" si="1"/>
        <v>660000</v>
      </c>
      <c r="F21" s="61">
        <f t="shared" si="3"/>
        <v>2300000</v>
      </c>
      <c r="G21" s="61">
        <f t="shared" si="0"/>
        <v>102000</v>
      </c>
      <c r="H21" s="61">
        <f t="shared" si="2"/>
        <v>24326000</v>
      </c>
      <c r="I21" t="s">
        <v>356</v>
      </c>
    </row>
  </sheetData>
  <mergeCells count="2">
    <mergeCell ref="F3:G3"/>
    <mergeCell ref="D3:E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63"/>
  <sheetViews>
    <sheetView zoomScale="40" zoomScaleNormal="40" workbookViewId="0">
      <selection activeCell="K3" sqref="K3"/>
    </sheetView>
  </sheetViews>
  <sheetFormatPr baseColWidth="10" defaultRowHeight="15" x14ac:dyDescent="0.25"/>
  <cols>
    <col min="2" max="2" width="24" customWidth="1"/>
    <col min="3" max="3" width="24.140625" customWidth="1"/>
    <col min="4" max="4" width="78.5703125" bestFit="1" customWidth="1"/>
    <col min="5" max="6" width="13.140625" customWidth="1"/>
    <col min="9" max="9" width="12.42578125" customWidth="1"/>
    <col min="10" max="10" width="10.7109375" customWidth="1"/>
    <col min="11" max="11" width="15.140625" bestFit="1" customWidth="1"/>
  </cols>
  <sheetData>
    <row r="1" spans="2:11" x14ac:dyDescent="0.25">
      <c r="E1" s="386" t="s">
        <v>312</v>
      </c>
      <c r="F1" s="386"/>
      <c r="G1" s="386" t="s">
        <v>311</v>
      </c>
      <c r="H1" s="386"/>
      <c r="I1" s="386" t="s">
        <v>602</v>
      </c>
      <c r="J1" s="386"/>
    </row>
    <row r="2" spans="2:11" ht="15.75" thickBot="1" x14ac:dyDescent="0.3">
      <c r="E2" t="s">
        <v>600</v>
      </c>
      <c r="F2" t="s">
        <v>601</v>
      </c>
      <c r="G2" t="s">
        <v>600</v>
      </c>
      <c r="H2" t="s">
        <v>601</v>
      </c>
      <c r="I2" t="s">
        <v>600</v>
      </c>
      <c r="J2" t="s">
        <v>601</v>
      </c>
    </row>
    <row r="3" spans="2:11" x14ac:dyDescent="0.25">
      <c r="B3" s="225" t="s">
        <v>19</v>
      </c>
      <c r="C3" s="234" t="s">
        <v>11</v>
      </c>
      <c r="D3" s="226" t="s">
        <v>24</v>
      </c>
      <c r="E3" s="241">
        <v>0.35</v>
      </c>
      <c r="F3" s="242">
        <f>+E3/$E$63*100</f>
        <v>2.2508038585209009</v>
      </c>
      <c r="G3" s="241">
        <v>0.8</v>
      </c>
      <c r="H3" s="242">
        <f>+G3/$G$63*100</f>
        <v>4.9875311720698257</v>
      </c>
      <c r="I3" s="242" t="str">
        <f>+IF(E3*G3&lt;0.09,"Muy Bajo",IF(E3*G3&lt;0.28,"Bajo",IF(E3*G3&lt;0.42,"Medio",IF(E3*G3&lt;0.81,"Alto"))))</f>
        <v>Medio</v>
      </c>
      <c r="J3" s="242">
        <f>+F3*H3</f>
        <v>11.225954406588036</v>
      </c>
      <c r="K3" s="244">
        <f>+E3*G3</f>
        <v>0.27999999999999997</v>
      </c>
    </row>
    <row r="4" spans="2:11" x14ac:dyDescent="0.25">
      <c r="B4" s="214" t="s">
        <v>19</v>
      </c>
      <c r="C4" s="235" t="s">
        <v>11</v>
      </c>
      <c r="D4" s="40" t="s">
        <v>395</v>
      </c>
      <c r="E4" s="241">
        <v>0.25</v>
      </c>
      <c r="F4" s="242">
        <f t="shared" ref="F4:F61" si="0">+E4/$E$63*100</f>
        <v>1.6077170418006432</v>
      </c>
      <c r="G4" s="241">
        <v>0.65</v>
      </c>
      <c r="H4" s="242">
        <f t="shared" ref="H4:H61" si="1">+G4/$G$63*100</f>
        <v>4.0523690773067331</v>
      </c>
      <c r="I4" s="242" t="str">
        <f t="shared" ref="I4:I61" si="2">+IF(E4*G4&lt;0.09,"Muy Bajo",IF(E4*G4&lt;0.28,"Bajo",IF(E4*G4&lt;0.42,"Medio",IF(E4*G4&lt;0.81,"Alto"))))</f>
        <v>Bajo</v>
      </c>
      <c r="J4" s="242">
        <f t="shared" ref="J4:J61" si="3">+F4*H4</f>
        <v>6.5150628252519835</v>
      </c>
      <c r="K4" s="244">
        <f t="shared" ref="K4:K61" si="4">+E4*G4</f>
        <v>0.16250000000000001</v>
      </c>
    </row>
    <row r="5" spans="2:11" x14ac:dyDescent="0.25">
      <c r="B5" s="214" t="s">
        <v>19</v>
      </c>
      <c r="C5" s="235" t="s">
        <v>11</v>
      </c>
      <c r="D5" s="40" t="s">
        <v>26</v>
      </c>
      <c r="E5" s="241">
        <v>0.15</v>
      </c>
      <c r="F5" s="242">
        <f t="shared" si="0"/>
        <v>0.96463022508038598</v>
      </c>
      <c r="G5" s="241">
        <v>0.3</v>
      </c>
      <c r="H5" s="242">
        <f t="shared" si="1"/>
        <v>1.8703241895261846</v>
      </c>
      <c r="I5" s="242" t="str">
        <f t="shared" si="2"/>
        <v>Muy Bajo</v>
      </c>
      <c r="J5" s="242">
        <f t="shared" si="3"/>
        <v>1.8041712439159339</v>
      </c>
      <c r="K5" s="244">
        <f t="shared" si="4"/>
        <v>4.4999999999999998E-2</v>
      </c>
    </row>
    <row r="6" spans="2:11" x14ac:dyDescent="0.25">
      <c r="B6" s="214" t="s">
        <v>19</v>
      </c>
      <c r="C6" s="235" t="s">
        <v>11</v>
      </c>
      <c r="D6" s="40" t="s">
        <v>27</v>
      </c>
      <c r="E6" s="241">
        <v>0.15</v>
      </c>
      <c r="F6" s="242">
        <f t="shared" si="0"/>
        <v>0.96463022508038598</v>
      </c>
      <c r="G6" s="241">
        <v>0.4</v>
      </c>
      <c r="H6" s="242">
        <f t="shared" si="1"/>
        <v>2.4937655860349128</v>
      </c>
      <c r="I6" s="242" t="str">
        <f t="shared" si="2"/>
        <v>Muy Bajo</v>
      </c>
      <c r="J6" s="242">
        <f t="shared" si="3"/>
        <v>2.4055616585545785</v>
      </c>
      <c r="K6" s="244">
        <f t="shared" si="4"/>
        <v>0.06</v>
      </c>
    </row>
    <row r="7" spans="2:11" x14ac:dyDescent="0.25">
      <c r="B7" s="214" t="s">
        <v>19</v>
      </c>
      <c r="C7" s="235" t="s">
        <v>364</v>
      </c>
      <c r="D7" s="40" t="s">
        <v>25</v>
      </c>
      <c r="E7" s="241">
        <v>0.25</v>
      </c>
      <c r="F7" s="242">
        <f t="shared" si="0"/>
        <v>1.6077170418006432</v>
      </c>
      <c r="G7" s="241">
        <v>0.2</v>
      </c>
      <c r="H7" s="242">
        <f t="shared" si="1"/>
        <v>1.2468827930174564</v>
      </c>
      <c r="I7" s="242" t="str">
        <f t="shared" si="2"/>
        <v>Muy Bajo</v>
      </c>
      <c r="J7" s="242">
        <f t="shared" si="3"/>
        <v>2.0046347154621489</v>
      </c>
      <c r="K7" s="244">
        <f t="shared" si="4"/>
        <v>0.05</v>
      </c>
    </row>
    <row r="8" spans="2:11" ht="15.75" thickBot="1" x14ac:dyDescent="0.3">
      <c r="B8" s="208" t="s">
        <v>19</v>
      </c>
      <c r="C8" s="236" t="s">
        <v>364</v>
      </c>
      <c r="D8" s="243" t="s">
        <v>368</v>
      </c>
      <c r="E8" s="241">
        <v>0.3</v>
      </c>
      <c r="F8" s="242">
        <f t="shared" si="0"/>
        <v>1.929260450160772</v>
      </c>
      <c r="G8" s="241">
        <v>0.6</v>
      </c>
      <c r="H8" s="242">
        <f t="shared" si="1"/>
        <v>3.7406483790523692</v>
      </c>
      <c r="I8" s="242" t="str">
        <f t="shared" si="2"/>
        <v>Bajo</v>
      </c>
      <c r="J8" s="242">
        <f t="shared" si="3"/>
        <v>7.2166849756637355</v>
      </c>
      <c r="K8" s="244">
        <f t="shared" si="4"/>
        <v>0.18</v>
      </c>
    </row>
    <row r="9" spans="2:11" x14ac:dyDescent="0.25">
      <c r="B9" s="225" t="s">
        <v>11</v>
      </c>
      <c r="C9" s="234" t="s">
        <v>365</v>
      </c>
      <c r="D9" s="44" t="s">
        <v>21</v>
      </c>
      <c r="E9" s="241">
        <v>0.4</v>
      </c>
      <c r="F9" s="242">
        <f t="shared" si="0"/>
        <v>2.5723472668810294</v>
      </c>
      <c r="G9" s="241">
        <v>0.6</v>
      </c>
      <c r="H9" s="242">
        <f t="shared" si="1"/>
        <v>3.7406483790523692</v>
      </c>
      <c r="I9" s="242" t="str">
        <f t="shared" si="2"/>
        <v>Bajo</v>
      </c>
      <c r="J9" s="242">
        <f t="shared" si="3"/>
        <v>9.6222466342183157</v>
      </c>
      <c r="K9" s="244">
        <f t="shared" si="4"/>
        <v>0.24</v>
      </c>
    </row>
    <row r="10" spans="2:11" x14ac:dyDescent="0.25">
      <c r="B10" s="214" t="s">
        <v>11</v>
      </c>
      <c r="C10" s="235" t="s">
        <v>365</v>
      </c>
      <c r="D10" s="40" t="s">
        <v>391</v>
      </c>
      <c r="E10" s="241">
        <v>0.2</v>
      </c>
      <c r="F10" s="242">
        <f t="shared" si="0"/>
        <v>1.2861736334405147</v>
      </c>
      <c r="G10" s="241">
        <v>0.55000000000000004</v>
      </c>
      <c r="H10" s="242">
        <f t="shared" si="1"/>
        <v>3.4289276807980054</v>
      </c>
      <c r="I10" s="242" t="str">
        <f t="shared" si="2"/>
        <v>Bajo</v>
      </c>
      <c r="J10" s="242">
        <f t="shared" si="3"/>
        <v>4.4101963740167278</v>
      </c>
      <c r="K10" s="244">
        <f t="shared" si="4"/>
        <v>0.11000000000000001</v>
      </c>
    </row>
    <row r="11" spans="2:11" x14ac:dyDescent="0.25">
      <c r="B11" s="214" t="s">
        <v>11</v>
      </c>
      <c r="C11" s="235" t="s">
        <v>365</v>
      </c>
      <c r="D11" s="40" t="s">
        <v>390</v>
      </c>
      <c r="E11" s="241">
        <v>0.4</v>
      </c>
      <c r="F11" s="242">
        <f t="shared" si="0"/>
        <v>2.5723472668810294</v>
      </c>
      <c r="G11" s="241">
        <v>0.62</v>
      </c>
      <c r="H11" s="242">
        <f t="shared" si="1"/>
        <v>3.8653366583541149</v>
      </c>
      <c r="I11" s="242" t="str">
        <f t="shared" si="2"/>
        <v>Bajo</v>
      </c>
      <c r="J11" s="242">
        <f t="shared" si="3"/>
        <v>9.942988188692258</v>
      </c>
      <c r="K11" s="244">
        <f t="shared" si="4"/>
        <v>0.248</v>
      </c>
    </row>
    <row r="12" spans="2:11" x14ac:dyDescent="0.25">
      <c r="B12" s="214" t="s">
        <v>11</v>
      </c>
      <c r="C12" s="235" t="s">
        <v>365</v>
      </c>
      <c r="D12" s="40" t="s">
        <v>598</v>
      </c>
      <c r="E12" s="241">
        <v>0.1</v>
      </c>
      <c r="F12" s="242">
        <f t="shared" si="0"/>
        <v>0.64308681672025736</v>
      </c>
      <c r="G12" s="241">
        <v>0.3</v>
      </c>
      <c r="H12" s="242">
        <f t="shared" si="1"/>
        <v>1.8703241895261846</v>
      </c>
      <c r="I12" s="242" t="str">
        <f t="shared" si="2"/>
        <v>Muy Bajo</v>
      </c>
      <c r="J12" s="242">
        <f t="shared" si="3"/>
        <v>1.2027808292772895</v>
      </c>
      <c r="K12" s="244">
        <f t="shared" si="4"/>
        <v>0.03</v>
      </c>
    </row>
    <row r="13" spans="2:11" x14ac:dyDescent="0.25">
      <c r="B13" s="214" t="s">
        <v>11</v>
      </c>
      <c r="C13" s="235" t="s">
        <v>366</v>
      </c>
      <c r="D13" s="40" t="s">
        <v>22</v>
      </c>
      <c r="E13" s="241">
        <v>0.1</v>
      </c>
      <c r="F13" s="242">
        <f t="shared" si="0"/>
        <v>0.64308681672025736</v>
      </c>
      <c r="G13" s="241">
        <v>0.3</v>
      </c>
      <c r="H13" s="242">
        <f t="shared" si="1"/>
        <v>1.8703241895261846</v>
      </c>
      <c r="I13" s="242" t="str">
        <f t="shared" si="2"/>
        <v>Muy Bajo</v>
      </c>
      <c r="J13" s="242">
        <f t="shared" si="3"/>
        <v>1.2027808292772895</v>
      </c>
      <c r="K13" s="244">
        <f t="shared" si="4"/>
        <v>0.03</v>
      </c>
    </row>
    <row r="14" spans="2:11" x14ac:dyDescent="0.25">
      <c r="B14" s="214" t="s">
        <v>11</v>
      </c>
      <c r="C14" s="235" t="s">
        <v>366</v>
      </c>
      <c r="D14" s="40" t="s">
        <v>396</v>
      </c>
      <c r="E14" s="241">
        <v>0.1</v>
      </c>
      <c r="F14" s="242">
        <f t="shared" si="0"/>
        <v>0.64308681672025736</v>
      </c>
      <c r="G14" s="241">
        <v>0.25</v>
      </c>
      <c r="H14" s="242">
        <f t="shared" si="1"/>
        <v>1.5586034912718205</v>
      </c>
      <c r="I14" s="242" t="str">
        <f t="shared" si="2"/>
        <v>Muy Bajo</v>
      </c>
      <c r="J14" s="242">
        <f t="shared" si="3"/>
        <v>1.0023173577310744</v>
      </c>
      <c r="K14" s="244">
        <f t="shared" si="4"/>
        <v>2.5000000000000001E-2</v>
      </c>
    </row>
    <row r="15" spans="2:11" x14ac:dyDescent="0.25">
      <c r="B15" s="214" t="s">
        <v>11</v>
      </c>
      <c r="C15" s="235" t="s">
        <v>366</v>
      </c>
      <c r="D15" s="40" t="s">
        <v>377</v>
      </c>
      <c r="E15" s="241">
        <v>0.2</v>
      </c>
      <c r="F15" s="242">
        <f t="shared" si="0"/>
        <v>1.2861736334405147</v>
      </c>
      <c r="G15" s="241">
        <v>0.4</v>
      </c>
      <c r="H15" s="242">
        <f t="shared" si="1"/>
        <v>2.4937655860349128</v>
      </c>
      <c r="I15" s="242" t="str">
        <f t="shared" si="2"/>
        <v>Muy Bajo</v>
      </c>
      <c r="J15" s="242">
        <f t="shared" si="3"/>
        <v>3.2074155447394381</v>
      </c>
      <c r="K15" s="244">
        <f t="shared" si="4"/>
        <v>8.0000000000000016E-2</v>
      </c>
    </row>
    <row r="16" spans="2:11" ht="15.75" thickBot="1" x14ac:dyDescent="0.3">
      <c r="B16" s="208" t="s">
        <v>11</v>
      </c>
      <c r="C16" s="236" t="s">
        <v>366</v>
      </c>
      <c r="D16" s="243" t="s">
        <v>378</v>
      </c>
      <c r="E16" s="241">
        <v>0.1</v>
      </c>
      <c r="F16" s="242">
        <f t="shared" si="0"/>
        <v>0.64308681672025736</v>
      </c>
      <c r="G16" s="241">
        <v>0.2</v>
      </c>
      <c r="H16" s="242">
        <f t="shared" si="1"/>
        <v>1.2468827930174564</v>
      </c>
      <c r="I16" s="242" t="str">
        <f t="shared" si="2"/>
        <v>Muy Bajo</v>
      </c>
      <c r="J16" s="242">
        <f t="shared" si="3"/>
        <v>0.80185388618485953</v>
      </c>
      <c r="K16" s="244">
        <f t="shared" si="4"/>
        <v>2.0000000000000004E-2</v>
      </c>
    </row>
    <row r="17" spans="2:11" x14ac:dyDescent="0.25">
      <c r="B17" s="225" t="s">
        <v>20</v>
      </c>
      <c r="C17" s="237" t="s">
        <v>365</v>
      </c>
      <c r="D17" s="44" t="s">
        <v>373</v>
      </c>
      <c r="E17" s="241">
        <v>0.2</v>
      </c>
      <c r="F17" s="242">
        <f t="shared" si="0"/>
        <v>1.2861736334405147</v>
      </c>
      <c r="G17" s="241">
        <v>0.2</v>
      </c>
      <c r="H17" s="242">
        <f t="shared" si="1"/>
        <v>1.2468827930174564</v>
      </c>
      <c r="I17" s="242" t="str">
        <f t="shared" si="2"/>
        <v>Muy Bajo</v>
      </c>
      <c r="J17" s="242">
        <f t="shared" si="3"/>
        <v>1.6037077723697191</v>
      </c>
      <c r="K17" s="244">
        <f t="shared" si="4"/>
        <v>4.0000000000000008E-2</v>
      </c>
    </row>
    <row r="18" spans="2:11" x14ac:dyDescent="0.25">
      <c r="B18" s="214" t="s">
        <v>20</v>
      </c>
      <c r="C18" s="199" t="s">
        <v>367</v>
      </c>
      <c r="D18" s="40" t="s">
        <v>374</v>
      </c>
      <c r="E18" s="241">
        <v>0.2</v>
      </c>
      <c r="F18" s="242">
        <f t="shared" si="0"/>
        <v>1.2861736334405147</v>
      </c>
      <c r="G18" s="241">
        <v>0.24</v>
      </c>
      <c r="H18" s="242">
        <f t="shared" si="1"/>
        <v>1.4962593516209477</v>
      </c>
      <c r="I18" s="242" t="str">
        <f t="shared" si="2"/>
        <v>Muy Bajo</v>
      </c>
      <c r="J18" s="242">
        <f t="shared" si="3"/>
        <v>1.9244493268436631</v>
      </c>
      <c r="K18" s="244">
        <f t="shared" si="4"/>
        <v>4.8000000000000001E-2</v>
      </c>
    </row>
    <row r="19" spans="2:11" x14ac:dyDescent="0.25">
      <c r="B19" s="214" t="s">
        <v>20</v>
      </c>
      <c r="C19" s="199" t="s">
        <v>367</v>
      </c>
      <c r="D19" s="40" t="s">
        <v>375</v>
      </c>
      <c r="E19" s="241">
        <v>0.6</v>
      </c>
      <c r="F19" s="242">
        <f t="shared" si="0"/>
        <v>3.8585209003215439</v>
      </c>
      <c r="G19" s="241">
        <v>0.45</v>
      </c>
      <c r="H19" s="242">
        <f t="shared" si="1"/>
        <v>2.8054862842892767</v>
      </c>
      <c r="I19" s="242" t="str">
        <f t="shared" si="2"/>
        <v>Bajo</v>
      </c>
      <c r="J19" s="242">
        <f t="shared" si="3"/>
        <v>10.825027463495603</v>
      </c>
      <c r="K19" s="244">
        <f t="shared" si="4"/>
        <v>0.27</v>
      </c>
    </row>
    <row r="20" spans="2:11" ht="15.75" thickBot="1" x14ac:dyDescent="0.3">
      <c r="B20" s="208" t="s">
        <v>20</v>
      </c>
      <c r="C20" s="238" t="s">
        <v>367</v>
      </c>
      <c r="D20" s="243" t="s">
        <v>376</v>
      </c>
      <c r="E20" s="241">
        <v>0.2</v>
      </c>
      <c r="F20" s="242">
        <f t="shared" si="0"/>
        <v>1.2861736334405147</v>
      </c>
      <c r="G20" s="241">
        <v>0.35</v>
      </c>
      <c r="H20" s="242">
        <f t="shared" si="1"/>
        <v>2.1820448877805489</v>
      </c>
      <c r="I20" s="242" t="str">
        <f t="shared" si="2"/>
        <v>Muy Bajo</v>
      </c>
      <c r="J20" s="242">
        <f t="shared" si="3"/>
        <v>2.806488601647009</v>
      </c>
      <c r="K20" s="244">
        <f t="shared" si="4"/>
        <v>6.9999999999999993E-2</v>
      </c>
    </row>
    <row r="21" spans="2:11" x14ac:dyDescent="0.25">
      <c r="B21" s="217" t="s">
        <v>8</v>
      </c>
      <c r="C21" s="234" t="s">
        <v>380</v>
      </c>
      <c r="D21" s="44" t="s">
        <v>578</v>
      </c>
      <c r="E21" s="241">
        <v>0.2</v>
      </c>
      <c r="F21" s="242">
        <f t="shared" si="0"/>
        <v>1.2861736334405147</v>
      </c>
      <c r="G21" s="241">
        <v>0.2</v>
      </c>
      <c r="H21" s="242">
        <f t="shared" si="1"/>
        <v>1.2468827930174564</v>
      </c>
      <c r="I21" s="242" t="str">
        <f t="shared" si="2"/>
        <v>Muy Bajo</v>
      </c>
      <c r="J21" s="242">
        <f t="shared" si="3"/>
        <v>1.6037077723697191</v>
      </c>
      <c r="K21" s="244">
        <f t="shared" si="4"/>
        <v>4.0000000000000008E-2</v>
      </c>
    </row>
    <row r="22" spans="2:11" x14ac:dyDescent="0.25">
      <c r="B22" s="218" t="s">
        <v>8</v>
      </c>
      <c r="C22" s="235" t="s">
        <v>380</v>
      </c>
      <c r="D22" s="40" t="s">
        <v>397</v>
      </c>
      <c r="E22" s="241">
        <v>0.4</v>
      </c>
      <c r="F22" s="242">
        <f t="shared" si="0"/>
        <v>2.5723472668810294</v>
      </c>
      <c r="G22" s="241">
        <v>0.45</v>
      </c>
      <c r="H22" s="242">
        <f t="shared" si="1"/>
        <v>2.8054862842892767</v>
      </c>
      <c r="I22" s="242" t="str">
        <f t="shared" si="2"/>
        <v>Bajo</v>
      </c>
      <c r="J22" s="242">
        <f t="shared" si="3"/>
        <v>7.2166849756637355</v>
      </c>
      <c r="K22" s="244">
        <f t="shared" si="4"/>
        <v>0.18000000000000002</v>
      </c>
    </row>
    <row r="23" spans="2:11" x14ac:dyDescent="0.25">
      <c r="B23" s="218" t="s">
        <v>8</v>
      </c>
      <c r="C23" s="235" t="s">
        <v>380</v>
      </c>
      <c r="D23" s="40" t="s">
        <v>394</v>
      </c>
      <c r="E23" s="241">
        <v>0.2</v>
      </c>
      <c r="F23" s="242">
        <f t="shared" si="0"/>
        <v>1.2861736334405147</v>
      </c>
      <c r="G23" s="241">
        <v>0.2</v>
      </c>
      <c r="H23" s="242">
        <f t="shared" si="1"/>
        <v>1.2468827930174564</v>
      </c>
      <c r="I23" s="242" t="str">
        <f t="shared" si="2"/>
        <v>Muy Bajo</v>
      </c>
      <c r="J23" s="242">
        <f t="shared" si="3"/>
        <v>1.6037077723697191</v>
      </c>
      <c r="K23" s="244">
        <f t="shared" si="4"/>
        <v>4.0000000000000008E-2</v>
      </c>
    </row>
    <row r="24" spans="2:11" x14ac:dyDescent="0.25">
      <c r="B24" s="218" t="s">
        <v>8</v>
      </c>
      <c r="C24" s="235" t="s">
        <v>380</v>
      </c>
      <c r="D24" s="40" t="s">
        <v>393</v>
      </c>
      <c r="E24" s="241">
        <v>0.1</v>
      </c>
      <c r="F24" s="242">
        <f t="shared" si="0"/>
        <v>0.64308681672025736</v>
      </c>
      <c r="G24" s="241">
        <v>0.2</v>
      </c>
      <c r="H24" s="242">
        <f t="shared" si="1"/>
        <v>1.2468827930174564</v>
      </c>
      <c r="I24" s="242" t="str">
        <f t="shared" si="2"/>
        <v>Muy Bajo</v>
      </c>
      <c r="J24" s="242">
        <f t="shared" si="3"/>
        <v>0.80185388618485953</v>
      </c>
      <c r="K24" s="244">
        <f t="shared" si="4"/>
        <v>2.0000000000000004E-2</v>
      </c>
    </row>
    <row r="25" spans="2:11" x14ac:dyDescent="0.25">
      <c r="B25" s="218" t="s">
        <v>8</v>
      </c>
      <c r="C25" s="235" t="s">
        <v>380</v>
      </c>
      <c r="D25" s="40" t="s">
        <v>29</v>
      </c>
      <c r="E25" s="241">
        <v>0.2</v>
      </c>
      <c r="F25" s="242">
        <f t="shared" si="0"/>
        <v>1.2861736334405147</v>
      </c>
      <c r="G25" s="241">
        <v>0.15</v>
      </c>
      <c r="H25" s="242">
        <f t="shared" si="1"/>
        <v>0.93516209476309231</v>
      </c>
      <c r="I25" s="242" t="str">
        <f t="shared" si="2"/>
        <v>Muy Bajo</v>
      </c>
      <c r="J25" s="242">
        <f t="shared" si="3"/>
        <v>1.2027808292772895</v>
      </c>
      <c r="K25" s="244">
        <f t="shared" si="4"/>
        <v>0.03</v>
      </c>
    </row>
    <row r="26" spans="2:11" x14ac:dyDescent="0.25">
      <c r="B26" s="218" t="s">
        <v>8</v>
      </c>
      <c r="C26" s="235" t="s">
        <v>380</v>
      </c>
      <c r="D26" s="40" t="s">
        <v>30</v>
      </c>
      <c r="E26" s="241">
        <v>0.4</v>
      </c>
      <c r="F26" s="242">
        <f t="shared" si="0"/>
        <v>2.5723472668810294</v>
      </c>
      <c r="G26" s="241">
        <v>0.15</v>
      </c>
      <c r="H26" s="242">
        <f t="shared" si="1"/>
        <v>0.93516209476309231</v>
      </c>
      <c r="I26" s="242" t="str">
        <f t="shared" si="2"/>
        <v>Muy Bajo</v>
      </c>
      <c r="J26" s="242">
        <f t="shared" si="3"/>
        <v>2.4055616585545789</v>
      </c>
      <c r="K26" s="244">
        <f t="shared" si="4"/>
        <v>0.06</v>
      </c>
    </row>
    <row r="27" spans="2:11" x14ac:dyDescent="0.25">
      <c r="B27" s="218" t="s">
        <v>8</v>
      </c>
      <c r="C27" s="235" t="s">
        <v>380</v>
      </c>
      <c r="D27" s="40" t="s">
        <v>31</v>
      </c>
      <c r="E27" s="241">
        <v>0.2</v>
      </c>
      <c r="F27" s="242">
        <f t="shared" si="0"/>
        <v>1.2861736334405147</v>
      </c>
      <c r="G27" s="241">
        <v>0.2</v>
      </c>
      <c r="H27" s="242">
        <f t="shared" si="1"/>
        <v>1.2468827930174564</v>
      </c>
      <c r="I27" s="242" t="str">
        <f t="shared" si="2"/>
        <v>Muy Bajo</v>
      </c>
      <c r="J27" s="242">
        <f t="shared" si="3"/>
        <v>1.6037077723697191</v>
      </c>
      <c r="K27" s="244">
        <f t="shared" si="4"/>
        <v>4.0000000000000008E-2</v>
      </c>
    </row>
    <row r="28" spans="2:11" x14ac:dyDescent="0.25">
      <c r="B28" s="218" t="s">
        <v>8</v>
      </c>
      <c r="C28" s="235" t="s">
        <v>380</v>
      </c>
      <c r="D28" s="40" t="s">
        <v>379</v>
      </c>
      <c r="E28" s="241">
        <v>0.1</v>
      </c>
      <c r="F28" s="242">
        <f t="shared" si="0"/>
        <v>0.64308681672025736</v>
      </c>
      <c r="G28" s="241">
        <v>0.1</v>
      </c>
      <c r="H28" s="242">
        <f t="shared" si="1"/>
        <v>0.62344139650872821</v>
      </c>
      <c r="I28" s="242" t="str">
        <f t="shared" si="2"/>
        <v>Muy Bajo</v>
      </c>
      <c r="J28" s="242">
        <f t="shared" si="3"/>
        <v>0.40092694309242977</v>
      </c>
      <c r="K28" s="244">
        <f t="shared" si="4"/>
        <v>1.0000000000000002E-2</v>
      </c>
    </row>
    <row r="29" spans="2:11" x14ac:dyDescent="0.25">
      <c r="B29" s="218" t="s">
        <v>8</v>
      </c>
      <c r="C29" s="235" t="s">
        <v>380</v>
      </c>
      <c r="D29" s="40" t="s">
        <v>381</v>
      </c>
      <c r="E29" s="241">
        <v>0.4</v>
      </c>
      <c r="F29" s="242">
        <f t="shared" si="0"/>
        <v>2.5723472668810294</v>
      </c>
      <c r="G29" s="241">
        <v>0.25</v>
      </c>
      <c r="H29" s="242">
        <f t="shared" si="1"/>
        <v>1.5586034912718205</v>
      </c>
      <c r="I29" s="242" t="str">
        <f t="shared" si="2"/>
        <v>Bajo</v>
      </c>
      <c r="J29" s="242">
        <f t="shared" si="3"/>
        <v>4.0092694309242978</v>
      </c>
      <c r="K29" s="244">
        <f t="shared" si="4"/>
        <v>0.1</v>
      </c>
    </row>
    <row r="30" spans="2:11" x14ac:dyDescent="0.25">
      <c r="B30" s="218" t="s">
        <v>8</v>
      </c>
      <c r="C30" s="235" t="s">
        <v>380</v>
      </c>
      <c r="D30" s="40" t="s">
        <v>579</v>
      </c>
      <c r="E30" s="241">
        <v>0.1</v>
      </c>
      <c r="F30" s="242">
        <f t="shared" si="0"/>
        <v>0.64308681672025736</v>
      </c>
      <c r="G30" s="241">
        <v>0.05</v>
      </c>
      <c r="H30" s="242">
        <f t="shared" si="1"/>
        <v>0.3117206982543641</v>
      </c>
      <c r="I30" s="242" t="str">
        <f t="shared" si="2"/>
        <v>Muy Bajo</v>
      </c>
      <c r="J30" s="242">
        <f t="shared" si="3"/>
        <v>0.20046347154621488</v>
      </c>
      <c r="K30" s="244">
        <f t="shared" si="4"/>
        <v>5.000000000000001E-3</v>
      </c>
    </row>
    <row r="31" spans="2:11" x14ac:dyDescent="0.25">
      <c r="B31" s="218" t="s">
        <v>8</v>
      </c>
      <c r="C31" s="235" t="s">
        <v>28</v>
      </c>
      <c r="D31" s="40" t="s">
        <v>32</v>
      </c>
      <c r="E31" s="241">
        <v>0.4</v>
      </c>
      <c r="F31" s="242">
        <f t="shared" si="0"/>
        <v>2.5723472668810294</v>
      </c>
      <c r="G31" s="241">
        <v>0.35</v>
      </c>
      <c r="H31" s="242">
        <f t="shared" si="1"/>
        <v>2.1820448877805489</v>
      </c>
      <c r="I31" s="242" t="str">
        <f t="shared" si="2"/>
        <v>Bajo</v>
      </c>
      <c r="J31" s="242">
        <f t="shared" si="3"/>
        <v>5.6129772032940179</v>
      </c>
      <c r="K31" s="244">
        <f t="shared" si="4"/>
        <v>0.13999999999999999</v>
      </c>
    </row>
    <row r="32" spans="2:11" x14ac:dyDescent="0.25">
      <c r="B32" s="218" t="s">
        <v>8</v>
      </c>
      <c r="C32" s="235" t="s">
        <v>28</v>
      </c>
      <c r="D32" s="40" t="s">
        <v>567</v>
      </c>
      <c r="E32" s="241">
        <v>0.2</v>
      </c>
      <c r="F32" s="242">
        <f t="shared" si="0"/>
        <v>1.2861736334405147</v>
      </c>
      <c r="G32" s="241">
        <v>0.25</v>
      </c>
      <c r="H32" s="242">
        <f t="shared" si="1"/>
        <v>1.5586034912718205</v>
      </c>
      <c r="I32" s="242" t="str">
        <f t="shared" si="2"/>
        <v>Muy Bajo</v>
      </c>
      <c r="J32" s="242">
        <f t="shared" si="3"/>
        <v>2.0046347154621489</v>
      </c>
      <c r="K32" s="244">
        <f t="shared" si="4"/>
        <v>0.05</v>
      </c>
    </row>
    <row r="33" spans="2:11" x14ac:dyDescent="0.25">
      <c r="B33" s="218" t="s">
        <v>8</v>
      </c>
      <c r="C33" s="235" t="s">
        <v>28</v>
      </c>
      <c r="D33" s="40" t="s">
        <v>33</v>
      </c>
      <c r="E33" s="241">
        <v>0.4</v>
      </c>
      <c r="F33" s="242">
        <f t="shared" si="0"/>
        <v>2.5723472668810294</v>
      </c>
      <c r="G33" s="241">
        <v>0.1</v>
      </c>
      <c r="H33" s="242">
        <f t="shared" si="1"/>
        <v>0.62344139650872821</v>
      </c>
      <c r="I33" s="242" t="str">
        <f t="shared" si="2"/>
        <v>Muy Bajo</v>
      </c>
      <c r="J33" s="242">
        <f t="shared" si="3"/>
        <v>1.6037077723697191</v>
      </c>
      <c r="K33" s="244">
        <f t="shared" si="4"/>
        <v>4.0000000000000008E-2</v>
      </c>
    </row>
    <row r="34" spans="2:11" x14ac:dyDescent="0.25">
      <c r="B34" s="218" t="s">
        <v>8</v>
      </c>
      <c r="C34" s="235" t="s">
        <v>28</v>
      </c>
      <c r="D34" s="40" t="s">
        <v>34</v>
      </c>
      <c r="E34" s="241">
        <v>0.4</v>
      </c>
      <c r="F34" s="242">
        <f t="shared" si="0"/>
        <v>2.5723472668810294</v>
      </c>
      <c r="G34" s="241">
        <v>0.15</v>
      </c>
      <c r="H34" s="242">
        <f t="shared" si="1"/>
        <v>0.93516209476309231</v>
      </c>
      <c r="I34" s="242" t="str">
        <f t="shared" si="2"/>
        <v>Muy Bajo</v>
      </c>
      <c r="J34" s="242">
        <f t="shared" si="3"/>
        <v>2.4055616585545789</v>
      </c>
      <c r="K34" s="244">
        <f t="shared" si="4"/>
        <v>0.06</v>
      </c>
    </row>
    <row r="35" spans="2:11" x14ac:dyDescent="0.25">
      <c r="B35" s="218" t="s">
        <v>8</v>
      </c>
      <c r="C35" s="235" t="s">
        <v>28</v>
      </c>
      <c r="D35" s="40" t="s">
        <v>35</v>
      </c>
      <c r="E35" s="241">
        <v>0.4</v>
      </c>
      <c r="F35" s="242">
        <f t="shared" si="0"/>
        <v>2.5723472668810294</v>
      </c>
      <c r="G35" s="241">
        <v>0.25</v>
      </c>
      <c r="H35" s="242">
        <f t="shared" si="1"/>
        <v>1.5586034912718205</v>
      </c>
      <c r="I35" s="242" t="str">
        <f t="shared" si="2"/>
        <v>Bajo</v>
      </c>
      <c r="J35" s="242">
        <f t="shared" si="3"/>
        <v>4.0092694309242978</v>
      </c>
      <c r="K35" s="244">
        <f t="shared" si="4"/>
        <v>0.1</v>
      </c>
    </row>
    <row r="36" spans="2:11" x14ac:dyDescent="0.25">
      <c r="B36" s="218" t="s">
        <v>8</v>
      </c>
      <c r="C36" s="235" t="s">
        <v>28</v>
      </c>
      <c r="D36" s="40" t="s">
        <v>36</v>
      </c>
      <c r="E36" s="241">
        <v>0.6</v>
      </c>
      <c r="F36" s="242">
        <f t="shared" si="0"/>
        <v>3.8585209003215439</v>
      </c>
      <c r="G36" s="241">
        <v>0.45</v>
      </c>
      <c r="H36" s="242">
        <f t="shared" si="1"/>
        <v>2.8054862842892767</v>
      </c>
      <c r="I36" s="242" t="str">
        <f t="shared" si="2"/>
        <v>Bajo</v>
      </c>
      <c r="J36" s="242">
        <f t="shared" si="3"/>
        <v>10.825027463495603</v>
      </c>
      <c r="K36" s="244">
        <f t="shared" si="4"/>
        <v>0.27</v>
      </c>
    </row>
    <row r="37" spans="2:11" x14ac:dyDescent="0.25">
      <c r="B37" s="218" t="s">
        <v>8</v>
      </c>
      <c r="C37" s="235" t="s">
        <v>28</v>
      </c>
      <c r="D37" s="40" t="s">
        <v>37</v>
      </c>
      <c r="E37" s="241">
        <v>0.4</v>
      </c>
      <c r="F37" s="242">
        <f t="shared" si="0"/>
        <v>2.5723472668810294</v>
      </c>
      <c r="G37" s="241">
        <v>0.15</v>
      </c>
      <c r="H37" s="242">
        <f t="shared" si="1"/>
        <v>0.93516209476309231</v>
      </c>
      <c r="I37" s="242" t="str">
        <f t="shared" si="2"/>
        <v>Muy Bajo</v>
      </c>
      <c r="J37" s="242">
        <f t="shared" si="3"/>
        <v>2.4055616585545789</v>
      </c>
      <c r="K37" s="244">
        <f t="shared" si="4"/>
        <v>0.06</v>
      </c>
    </row>
    <row r="38" spans="2:11" x14ac:dyDescent="0.25">
      <c r="B38" s="218" t="s">
        <v>8</v>
      </c>
      <c r="C38" s="235" t="s">
        <v>28</v>
      </c>
      <c r="D38" s="40" t="s">
        <v>599</v>
      </c>
      <c r="E38" s="241">
        <v>0.2</v>
      </c>
      <c r="F38" s="242">
        <f t="shared" si="0"/>
        <v>1.2861736334405147</v>
      </c>
      <c r="G38" s="241">
        <v>0.3</v>
      </c>
      <c r="H38" s="242">
        <f t="shared" si="1"/>
        <v>1.8703241895261846</v>
      </c>
      <c r="I38" s="242" t="str">
        <f t="shared" si="2"/>
        <v>Muy Bajo</v>
      </c>
      <c r="J38" s="242">
        <f t="shared" si="3"/>
        <v>2.4055616585545789</v>
      </c>
      <c r="K38" s="244">
        <f t="shared" si="4"/>
        <v>0.06</v>
      </c>
    </row>
    <row r="39" spans="2:11" x14ac:dyDescent="0.25">
      <c r="B39" s="218" t="s">
        <v>8</v>
      </c>
      <c r="C39" s="235" t="s">
        <v>28</v>
      </c>
      <c r="D39" s="40" t="s">
        <v>38</v>
      </c>
      <c r="E39" s="241">
        <v>0.2</v>
      </c>
      <c r="F39" s="242">
        <f t="shared" si="0"/>
        <v>1.2861736334405147</v>
      </c>
      <c r="G39" s="241">
        <v>0.15</v>
      </c>
      <c r="H39" s="242">
        <f t="shared" si="1"/>
        <v>0.93516209476309231</v>
      </c>
      <c r="I39" s="242" t="str">
        <f t="shared" si="2"/>
        <v>Muy Bajo</v>
      </c>
      <c r="J39" s="242">
        <f t="shared" si="3"/>
        <v>1.2027808292772895</v>
      </c>
      <c r="K39" s="244">
        <f t="shared" si="4"/>
        <v>0.03</v>
      </c>
    </row>
    <row r="40" spans="2:11" x14ac:dyDescent="0.25">
      <c r="B40" s="218" t="s">
        <v>8</v>
      </c>
      <c r="C40" s="235" t="s">
        <v>28</v>
      </c>
      <c r="D40" s="40" t="s">
        <v>568</v>
      </c>
      <c r="E40" s="241">
        <v>0.4</v>
      </c>
      <c r="F40" s="242">
        <f t="shared" si="0"/>
        <v>2.5723472668810294</v>
      </c>
      <c r="G40" s="241">
        <v>0.4</v>
      </c>
      <c r="H40" s="242">
        <f t="shared" si="1"/>
        <v>2.4937655860349128</v>
      </c>
      <c r="I40" s="242" t="str">
        <f t="shared" si="2"/>
        <v>Bajo</v>
      </c>
      <c r="J40" s="242">
        <f t="shared" si="3"/>
        <v>6.4148310894788763</v>
      </c>
      <c r="K40" s="244">
        <f t="shared" si="4"/>
        <v>0.16000000000000003</v>
      </c>
    </row>
    <row r="41" spans="2:11" x14ac:dyDescent="0.25">
      <c r="B41" s="218" t="s">
        <v>8</v>
      </c>
      <c r="C41" s="235" t="s">
        <v>28</v>
      </c>
      <c r="D41" s="40" t="s">
        <v>39</v>
      </c>
      <c r="E41" s="241">
        <v>0.4</v>
      </c>
      <c r="F41" s="242">
        <f t="shared" si="0"/>
        <v>2.5723472668810294</v>
      </c>
      <c r="G41" s="241">
        <v>0.3</v>
      </c>
      <c r="H41" s="242">
        <f t="shared" si="1"/>
        <v>1.8703241895261846</v>
      </c>
      <c r="I41" s="242" t="str">
        <f t="shared" si="2"/>
        <v>Bajo</v>
      </c>
      <c r="J41" s="242">
        <f t="shared" si="3"/>
        <v>4.8111233171091579</v>
      </c>
      <c r="K41" s="244">
        <f t="shared" si="4"/>
        <v>0.12</v>
      </c>
    </row>
    <row r="42" spans="2:11" x14ac:dyDescent="0.25">
      <c r="B42" s="218" t="s">
        <v>8</v>
      </c>
      <c r="C42" s="235" t="s">
        <v>28</v>
      </c>
      <c r="D42" s="40" t="s">
        <v>382</v>
      </c>
      <c r="E42" s="241">
        <v>0.6</v>
      </c>
      <c r="F42" s="242">
        <f t="shared" si="0"/>
        <v>3.8585209003215439</v>
      </c>
      <c r="G42" s="241">
        <v>0.35</v>
      </c>
      <c r="H42" s="242">
        <f t="shared" si="1"/>
        <v>2.1820448877805489</v>
      </c>
      <c r="I42" s="242" t="str">
        <f t="shared" si="2"/>
        <v>Bajo</v>
      </c>
      <c r="J42" s="242">
        <f t="shared" si="3"/>
        <v>8.4194658049410265</v>
      </c>
      <c r="K42" s="244">
        <f t="shared" si="4"/>
        <v>0.21</v>
      </c>
    </row>
    <row r="43" spans="2:11" x14ac:dyDescent="0.25">
      <c r="B43" s="218" t="s">
        <v>8</v>
      </c>
      <c r="C43" s="235" t="s">
        <v>28</v>
      </c>
      <c r="D43" s="40" t="s">
        <v>40</v>
      </c>
      <c r="E43" s="241">
        <v>0.4</v>
      </c>
      <c r="F43" s="242">
        <f t="shared" si="0"/>
        <v>2.5723472668810294</v>
      </c>
      <c r="G43" s="241">
        <v>0.25</v>
      </c>
      <c r="H43" s="242">
        <f t="shared" si="1"/>
        <v>1.5586034912718205</v>
      </c>
      <c r="I43" s="242" t="str">
        <f t="shared" si="2"/>
        <v>Bajo</v>
      </c>
      <c r="J43" s="242">
        <f t="shared" si="3"/>
        <v>4.0092694309242978</v>
      </c>
      <c r="K43" s="244">
        <f t="shared" si="4"/>
        <v>0.1</v>
      </c>
    </row>
    <row r="44" spans="2:11" x14ac:dyDescent="0.25">
      <c r="B44" s="218" t="s">
        <v>8</v>
      </c>
      <c r="C44" s="235" t="s">
        <v>28</v>
      </c>
      <c r="D44" s="40" t="s">
        <v>41</v>
      </c>
      <c r="E44" s="241">
        <v>0.1</v>
      </c>
      <c r="F44" s="242">
        <f t="shared" si="0"/>
        <v>0.64308681672025736</v>
      </c>
      <c r="G44" s="241">
        <v>0.1</v>
      </c>
      <c r="H44" s="242">
        <f t="shared" si="1"/>
        <v>0.62344139650872821</v>
      </c>
      <c r="I44" s="242" t="str">
        <f t="shared" si="2"/>
        <v>Muy Bajo</v>
      </c>
      <c r="J44" s="242">
        <f t="shared" si="3"/>
        <v>0.40092694309242977</v>
      </c>
      <c r="K44" s="244">
        <f t="shared" si="4"/>
        <v>1.0000000000000002E-2</v>
      </c>
    </row>
    <row r="45" spans="2:11" x14ac:dyDescent="0.25">
      <c r="B45" s="218" t="s">
        <v>8</v>
      </c>
      <c r="C45" s="235" t="s">
        <v>28</v>
      </c>
      <c r="D45" s="40" t="s">
        <v>386</v>
      </c>
      <c r="E45" s="241">
        <v>0.2</v>
      </c>
      <c r="F45" s="242">
        <f t="shared" si="0"/>
        <v>1.2861736334405147</v>
      </c>
      <c r="G45" s="241">
        <v>0.1</v>
      </c>
      <c r="H45" s="242">
        <f t="shared" si="1"/>
        <v>0.62344139650872821</v>
      </c>
      <c r="I45" s="242" t="str">
        <f t="shared" si="2"/>
        <v>Muy Bajo</v>
      </c>
      <c r="J45" s="242">
        <f t="shared" si="3"/>
        <v>0.80185388618485953</v>
      </c>
      <c r="K45" s="244">
        <f t="shared" si="4"/>
        <v>2.0000000000000004E-2</v>
      </c>
    </row>
    <row r="46" spans="2:11" x14ac:dyDescent="0.25">
      <c r="B46" s="218" t="s">
        <v>8</v>
      </c>
      <c r="C46" s="235" t="s">
        <v>42</v>
      </c>
      <c r="D46" s="40" t="s">
        <v>43</v>
      </c>
      <c r="E46" s="241">
        <v>0.4</v>
      </c>
      <c r="F46" s="242">
        <f t="shared" si="0"/>
        <v>2.5723472668810294</v>
      </c>
      <c r="G46" s="241">
        <v>0.2</v>
      </c>
      <c r="H46" s="242">
        <f t="shared" si="1"/>
        <v>1.2468827930174564</v>
      </c>
      <c r="I46" s="242" t="str">
        <f t="shared" si="2"/>
        <v>Muy Bajo</v>
      </c>
      <c r="J46" s="242">
        <f t="shared" si="3"/>
        <v>3.2074155447394381</v>
      </c>
      <c r="K46" s="244">
        <f t="shared" si="4"/>
        <v>8.0000000000000016E-2</v>
      </c>
    </row>
    <row r="47" spans="2:11" x14ac:dyDescent="0.25">
      <c r="B47" s="218" t="s">
        <v>8</v>
      </c>
      <c r="C47" s="235" t="s">
        <v>42</v>
      </c>
      <c r="D47" s="40" t="s">
        <v>44</v>
      </c>
      <c r="E47" s="241">
        <v>0.2</v>
      </c>
      <c r="F47" s="242">
        <f t="shared" si="0"/>
        <v>1.2861736334405147</v>
      </c>
      <c r="G47" s="241">
        <v>0.25</v>
      </c>
      <c r="H47" s="242">
        <f t="shared" si="1"/>
        <v>1.5586034912718205</v>
      </c>
      <c r="I47" s="242" t="str">
        <f t="shared" si="2"/>
        <v>Muy Bajo</v>
      </c>
      <c r="J47" s="242">
        <f t="shared" si="3"/>
        <v>2.0046347154621489</v>
      </c>
      <c r="K47" s="244">
        <f t="shared" si="4"/>
        <v>0.05</v>
      </c>
    </row>
    <row r="48" spans="2:11" x14ac:dyDescent="0.25">
      <c r="B48" s="218" t="s">
        <v>8</v>
      </c>
      <c r="C48" s="235" t="s">
        <v>42</v>
      </c>
      <c r="D48" s="40" t="s">
        <v>45</v>
      </c>
      <c r="E48" s="241">
        <v>0.2</v>
      </c>
      <c r="F48" s="242">
        <f t="shared" si="0"/>
        <v>1.2861736334405147</v>
      </c>
      <c r="G48" s="241">
        <v>0.15</v>
      </c>
      <c r="H48" s="242">
        <f t="shared" si="1"/>
        <v>0.93516209476309231</v>
      </c>
      <c r="I48" s="242" t="str">
        <f t="shared" si="2"/>
        <v>Muy Bajo</v>
      </c>
      <c r="J48" s="242">
        <f t="shared" si="3"/>
        <v>1.2027808292772895</v>
      </c>
      <c r="K48" s="244">
        <f t="shared" si="4"/>
        <v>0.03</v>
      </c>
    </row>
    <row r="49" spans="2:11" x14ac:dyDescent="0.25">
      <c r="B49" s="218" t="s">
        <v>8</v>
      </c>
      <c r="C49" s="235" t="s">
        <v>42</v>
      </c>
      <c r="D49" s="40" t="s">
        <v>46</v>
      </c>
      <c r="E49" s="241">
        <v>0.2</v>
      </c>
      <c r="F49" s="242">
        <f t="shared" si="0"/>
        <v>1.2861736334405147</v>
      </c>
      <c r="G49" s="241">
        <v>0.25</v>
      </c>
      <c r="H49" s="242">
        <f t="shared" si="1"/>
        <v>1.5586034912718205</v>
      </c>
      <c r="I49" s="242" t="str">
        <f t="shared" si="2"/>
        <v>Muy Bajo</v>
      </c>
      <c r="J49" s="242">
        <f t="shared" si="3"/>
        <v>2.0046347154621489</v>
      </c>
      <c r="K49" s="244">
        <f t="shared" si="4"/>
        <v>0.05</v>
      </c>
    </row>
    <row r="50" spans="2:11" x14ac:dyDescent="0.25">
      <c r="B50" s="218" t="s">
        <v>8</v>
      </c>
      <c r="C50" s="235" t="s">
        <v>47</v>
      </c>
      <c r="D50" s="40" t="s">
        <v>48</v>
      </c>
      <c r="E50" s="241">
        <v>0.2</v>
      </c>
      <c r="F50" s="242">
        <f t="shared" si="0"/>
        <v>1.2861736334405147</v>
      </c>
      <c r="G50" s="241">
        <v>0.2</v>
      </c>
      <c r="H50" s="242">
        <f t="shared" si="1"/>
        <v>1.2468827930174564</v>
      </c>
      <c r="I50" s="242" t="str">
        <f t="shared" si="2"/>
        <v>Muy Bajo</v>
      </c>
      <c r="J50" s="242">
        <f t="shared" si="3"/>
        <v>1.6037077723697191</v>
      </c>
      <c r="K50" s="244">
        <f t="shared" si="4"/>
        <v>4.0000000000000008E-2</v>
      </c>
    </row>
    <row r="51" spans="2:11" x14ac:dyDescent="0.25">
      <c r="B51" s="218" t="s">
        <v>8</v>
      </c>
      <c r="C51" s="235" t="s">
        <v>47</v>
      </c>
      <c r="D51" s="40" t="s">
        <v>392</v>
      </c>
      <c r="E51" s="241">
        <v>0.1</v>
      </c>
      <c r="F51" s="242">
        <f t="shared" si="0"/>
        <v>0.64308681672025736</v>
      </c>
      <c r="G51" s="241">
        <v>0.18</v>
      </c>
      <c r="H51" s="242">
        <f t="shared" si="1"/>
        <v>1.1221945137157108</v>
      </c>
      <c r="I51" s="242" t="str">
        <f t="shared" si="2"/>
        <v>Muy Bajo</v>
      </c>
      <c r="J51" s="242">
        <f t="shared" si="3"/>
        <v>0.72166849756637363</v>
      </c>
      <c r="K51" s="244">
        <f t="shared" si="4"/>
        <v>1.7999999999999999E-2</v>
      </c>
    </row>
    <row r="52" spans="2:11" x14ac:dyDescent="0.25">
      <c r="B52" s="218" t="s">
        <v>8</v>
      </c>
      <c r="C52" s="235" t="s">
        <v>49</v>
      </c>
      <c r="D52" s="40" t="s">
        <v>50</v>
      </c>
      <c r="E52" s="241">
        <v>0.4</v>
      </c>
      <c r="F52" s="242">
        <f t="shared" si="0"/>
        <v>2.5723472668810294</v>
      </c>
      <c r="G52" s="241">
        <v>0.3</v>
      </c>
      <c r="H52" s="242">
        <f t="shared" si="1"/>
        <v>1.8703241895261846</v>
      </c>
      <c r="I52" s="242" t="str">
        <f t="shared" si="2"/>
        <v>Bajo</v>
      </c>
      <c r="J52" s="242">
        <f t="shared" si="3"/>
        <v>4.8111233171091579</v>
      </c>
      <c r="K52" s="244">
        <f t="shared" si="4"/>
        <v>0.12</v>
      </c>
    </row>
    <row r="53" spans="2:11" x14ac:dyDescent="0.25">
      <c r="B53" s="218" t="s">
        <v>8</v>
      </c>
      <c r="C53" s="235" t="s">
        <v>49</v>
      </c>
      <c r="D53" s="40" t="s">
        <v>51</v>
      </c>
      <c r="E53" s="241">
        <v>0.1</v>
      </c>
      <c r="F53" s="242">
        <f t="shared" si="0"/>
        <v>0.64308681672025736</v>
      </c>
      <c r="G53" s="241">
        <v>0.1</v>
      </c>
      <c r="H53" s="242">
        <f t="shared" si="1"/>
        <v>0.62344139650872821</v>
      </c>
      <c r="I53" s="242" t="str">
        <f t="shared" si="2"/>
        <v>Muy Bajo</v>
      </c>
      <c r="J53" s="242">
        <f t="shared" si="3"/>
        <v>0.40092694309242977</v>
      </c>
      <c r="K53" s="244">
        <f t="shared" si="4"/>
        <v>1.0000000000000002E-2</v>
      </c>
    </row>
    <row r="54" spans="2:11" x14ac:dyDescent="0.25">
      <c r="B54" s="218" t="s">
        <v>8</v>
      </c>
      <c r="C54" s="235" t="s">
        <v>49</v>
      </c>
      <c r="D54" s="40" t="s">
        <v>52</v>
      </c>
      <c r="E54" s="241">
        <v>0.1</v>
      </c>
      <c r="F54" s="242">
        <f t="shared" si="0"/>
        <v>0.64308681672025736</v>
      </c>
      <c r="G54" s="241">
        <v>0.1</v>
      </c>
      <c r="H54" s="242">
        <f t="shared" si="1"/>
        <v>0.62344139650872821</v>
      </c>
      <c r="I54" s="242" t="str">
        <f t="shared" si="2"/>
        <v>Muy Bajo</v>
      </c>
      <c r="J54" s="242">
        <f t="shared" si="3"/>
        <v>0.40092694309242977</v>
      </c>
      <c r="K54" s="244">
        <f t="shared" si="4"/>
        <v>1.0000000000000002E-2</v>
      </c>
    </row>
    <row r="55" spans="2:11" x14ac:dyDescent="0.25">
      <c r="B55" s="218" t="s">
        <v>8</v>
      </c>
      <c r="C55" s="235" t="s">
        <v>53</v>
      </c>
      <c r="D55" s="40" t="s">
        <v>576</v>
      </c>
      <c r="E55" s="241">
        <v>0.4</v>
      </c>
      <c r="F55" s="242">
        <f t="shared" si="0"/>
        <v>2.5723472668810294</v>
      </c>
      <c r="G55" s="241">
        <v>0.35</v>
      </c>
      <c r="H55" s="242">
        <f t="shared" si="1"/>
        <v>2.1820448877805489</v>
      </c>
      <c r="I55" s="242" t="str">
        <f t="shared" si="2"/>
        <v>Bajo</v>
      </c>
      <c r="J55" s="242">
        <f t="shared" si="3"/>
        <v>5.6129772032940179</v>
      </c>
      <c r="K55" s="244">
        <f t="shared" si="4"/>
        <v>0.13999999999999999</v>
      </c>
    </row>
    <row r="56" spans="2:11" x14ac:dyDescent="0.25">
      <c r="B56" s="218" t="s">
        <v>8</v>
      </c>
      <c r="C56" s="235" t="s">
        <v>53</v>
      </c>
      <c r="D56" s="40" t="s">
        <v>383</v>
      </c>
      <c r="E56" s="241">
        <v>0.1</v>
      </c>
      <c r="F56" s="242">
        <f t="shared" si="0"/>
        <v>0.64308681672025736</v>
      </c>
      <c r="G56" s="241">
        <v>0.05</v>
      </c>
      <c r="H56" s="242">
        <f t="shared" si="1"/>
        <v>0.3117206982543641</v>
      </c>
      <c r="I56" s="242" t="str">
        <f t="shared" si="2"/>
        <v>Muy Bajo</v>
      </c>
      <c r="J56" s="242">
        <f t="shared" si="3"/>
        <v>0.20046347154621488</v>
      </c>
      <c r="K56" s="244">
        <f t="shared" si="4"/>
        <v>5.000000000000001E-3</v>
      </c>
    </row>
    <row r="57" spans="2:11" x14ac:dyDescent="0.25">
      <c r="B57" s="218" t="s">
        <v>8</v>
      </c>
      <c r="C57" s="235" t="s">
        <v>53</v>
      </c>
      <c r="D57" s="40" t="s">
        <v>384</v>
      </c>
      <c r="E57" s="241">
        <v>0.4</v>
      </c>
      <c r="F57" s="242">
        <f t="shared" si="0"/>
        <v>2.5723472668810294</v>
      </c>
      <c r="G57" s="241">
        <v>0.1</v>
      </c>
      <c r="H57" s="242">
        <f t="shared" si="1"/>
        <v>0.62344139650872821</v>
      </c>
      <c r="I57" s="242" t="str">
        <f t="shared" si="2"/>
        <v>Muy Bajo</v>
      </c>
      <c r="J57" s="242">
        <f t="shared" si="3"/>
        <v>1.6037077723697191</v>
      </c>
      <c r="K57" s="244">
        <f t="shared" si="4"/>
        <v>4.0000000000000008E-2</v>
      </c>
    </row>
    <row r="58" spans="2:11" x14ac:dyDescent="0.25">
      <c r="B58" s="218" t="s">
        <v>8</v>
      </c>
      <c r="C58" s="235" t="s">
        <v>53</v>
      </c>
      <c r="D58" s="40" t="s">
        <v>577</v>
      </c>
      <c r="E58" s="241">
        <v>0.4</v>
      </c>
      <c r="F58" s="242">
        <f t="shared" si="0"/>
        <v>2.5723472668810294</v>
      </c>
      <c r="G58" s="241">
        <v>0.25</v>
      </c>
      <c r="H58" s="242">
        <f t="shared" si="1"/>
        <v>1.5586034912718205</v>
      </c>
      <c r="I58" s="242" t="str">
        <f t="shared" si="2"/>
        <v>Bajo</v>
      </c>
      <c r="J58" s="242">
        <f t="shared" si="3"/>
        <v>4.0092694309242978</v>
      </c>
      <c r="K58" s="244">
        <f t="shared" si="4"/>
        <v>0.1</v>
      </c>
    </row>
    <row r="59" spans="2:11" x14ac:dyDescent="0.25">
      <c r="B59" s="218" t="s">
        <v>8</v>
      </c>
      <c r="C59" s="235" t="s">
        <v>54</v>
      </c>
      <c r="D59" s="40" t="s">
        <v>55</v>
      </c>
      <c r="E59" s="241">
        <v>0.2</v>
      </c>
      <c r="F59" s="242">
        <f t="shared" si="0"/>
        <v>1.2861736334405147</v>
      </c>
      <c r="G59" s="241">
        <v>0.25</v>
      </c>
      <c r="H59" s="242">
        <f t="shared" si="1"/>
        <v>1.5586034912718205</v>
      </c>
      <c r="I59" s="242" t="str">
        <f t="shared" si="2"/>
        <v>Muy Bajo</v>
      </c>
      <c r="J59" s="242">
        <f t="shared" si="3"/>
        <v>2.0046347154621489</v>
      </c>
      <c r="K59" s="244">
        <f t="shared" si="4"/>
        <v>0.05</v>
      </c>
    </row>
    <row r="60" spans="2:11" x14ac:dyDescent="0.25">
      <c r="B60" s="218" t="s">
        <v>8</v>
      </c>
      <c r="C60" s="235" t="s">
        <v>54</v>
      </c>
      <c r="D60" s="40" t="s">
        <v>56</v>
      </c>
      <c r="E60" s="241">
        <v>0.2</v>
      </c>
      <c r="F60" s="242">
        <f t="shared" si="0"/>
        <v>1.2861736334405147</v>
      </c>
      <c r="G60" s="241">
        <v>0.15</v>
      </c>
      <c r="H60" s="242">
        <f t="shared" si="1"/>
        <v>0.93516209476309231</v>
      </c>
      <c r="I60" s="242" t="str">
        <f t="shared" si="2"/>
        <v>Muy Bajo</v>
      </c>
      <c r="J60" s="242">
        <f t="shared" si="3"/>
        <v>1.2027808292772895</v>
      </c>
      <c r="K60" s="244">
        <f t="shared" si="4"/>
        <v>0.03</v>
      </c>
    </row>
    <row r="61" spans="2:11" ht="15.75" thickBot="1" x14ac:dyDescent="0.3">
      <c r="B61" s="219" t="s">
        <v>8</v>
      </c>
      <c r="C61" s="239" t="s">
        <v>54</v>
      </c>
      <c r="D61" s="50" t="s">
        <v>57</v>
      </c>
      <c r="E61" s="241">
        <v>0.1</v>
      </c>
      <c r="F61" s="242">
        <f t="shared" si="0"/>
        <v>0.64308681672025736</v>
      </c>
      <c r="G61" s="241">
        <v>0.15</v>
      </c>
      <c r="H61" s="242">
        <f t="shared" si="1"/>
        <v>0.93516209476309231</v>
      </c>
      <c r="I61" s="242" t="str">
        <f t="shared" si="2"/>
        <v>Muy Bajo</v>
      </c>
      <c r="J61" s="242">
        <f t="shared" si="3"/>
        <v>0.60139041463864473</v>
      </c>
      <c r="K61" s="244">
        <f t="shared" si="4"/>
        <v>1.4999999999999999E-2</v>
      </c>
    </row>
    <row r="63" spans="2:11" x14ac:dyDescent="0.25">
      <c r="E63">
        <f>+SUM(E3:E61)</f>
        <v>15.549999999999997</v>
      </c>
      <c r="G63">
        <f>+SUM(G3:G61)</f>
        <v>16.04</v>
      </c>
    </row>
  </sheetData>
  <mergeCells count="3">
    <mergeCell ref="E1:F1"/>
    <mergeCell ref="G1:H1"/>
    <mergeCell ref="I1:J1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H9"/>
  <sheetViews>
    <sheetView tabSelected="1" workbookViewId="0">
      <selection activeCell="I6" sqref="I6"/>
    </sheetView>
  </sheetViews>
  <sheetFormatPr baseColWidth="10" defaultRowHeight="15" x14ac:dyDescent="0.25"/>
  <sheetData>
    <row r="3" spans="2:8" ht="15.75" thickBot="1" x14ac:dyDescent="0.3"/>
    <row r="4" spans="2:8" ht="15.75" thickBot="1" x14ac:dyDescent="0.3">
      <c r="B4" s="355" t="s">
        <v>572</v>
      </c>
      <c r="C4" s="356" t="s">
        <v>822</v>
      </c>
      <c r="D4" s="356" t="s">
        <v>823</v>
      </c>
      <c r="E4" s="356" t="s">
        <v>824</v>
      </c>
    </row>
    <row r="5" spans="2:8" ht="30.75" thickBot="1" x14ac:dyDescent="0.3">
      <c r="B5" s="357" t="s">
        <v>825</v>
      </c>
      <c r="C5" s="358" t="s">
        <v>826</v>
      </c>
      <c r="D5" s="359">
        <v>752038195</v>
      </c>
      <c r="E5" s="360">
        <v>331</v>
      </c>
    </row>
    <row r="6" spans="2:8" ht="45.75" thickBot="1" x14ac:dyDescent="0.3">
      <c r="B6" s="357" t="s">
        <v>827</v>
      </c>
      <c r="C6" s="358" t="s">
        <v>828</v>
      </c>
      <c r="D6" s="359">
        <v>817935947</v>
      </c>
      <c r="E6" s="360">
        <v>365</v>
      </c>
      <c r="G6" s="33">
        <f>+(D6-D5)/D6</f>
        <v>8.0565907687145583E-2</v>
      </c>
      <c r="H6" s="33">
        <f>+(E6-E5)/E6</f>
        <v>9.3150684931506855E-2</v>
      </c>
    </row>
    <row r="7" spans="2:8" ht="30.75" thickBot="1" x14ac:dyDescent="0.3">
      <c r="B7" s="357" t="s">
        <v>829</v>
      </c>
      <c r="C7" s="358" t="s">
        <v>826</v>
      </c>
      <c r="D7" s="359">
        <v>443519795</v>
      </c>
      <c r="E7" s="360">
        <v>102</v>
      </c>
    </row>
    <row r="8" spans="2:8" ht="45.75" thickBot="1" x14ac:dyDescent="0.3">
      <c r="B8" s="357" t="s">
        <v>829</v>
      </c>
      <c r="C8" s="358" t="s">
        <v>828</v>
      </c>
      <c r="D8" s="359">
        <v>491602312</v>
      </c>
      <c r="E8" s="360">
        <v>120</v>
      </c>
      <c r="G8" s="33">
        <f>+(D8-D7)/D8</f>
        <v>9.7807751970051759E-2</v>
      </c>
      <c r="H8" s="33">
        <f>+(E8-E7)/E8</f>
        <v>0.15</v>
      </c>
    </row>
    <row r="9" spans="2:8" x14ac:dyDescent="0.25">
      <c r="B9" s="361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1</vt:i4>
      </vt:variant>
    </vt:vector>
  </HeadingPairs>
  <TitlesOfParts>
    <vt:vector size="18" baseType="lpstr">
      <vt:lpstr>Data Proyectos</vt:lpstr>
      <vt:lpstr>Hoja3</vt:lpstr>
      <vt:lpstr>Fracaso Proyectos</vt:lpstr>
      <vt:lpstr>Costo HH</vt:lpstr>
      <vt:lpstr>Hoja1</vt:lpstr>
      <vt:lpstr>Riesgos genericos proyectos</vt:lpstr>
      <vt:lpstr>Vamos</vt:lpstr>
      <vt:lpstr>Juicio Expertos</vt:lpstr>
      <vt:lpstr>Hoja2</vt:lpstr>
      <vt:lpstr>Jerarq. Riesgos Plazo</vt:lpstr>
      <vt:lpstr>Jerarq. Riesgos Costos</vt:lpstr>
      <vt:lpstr>Contingencias</vt:lpstr>
      <vt:lpstr>Aplicación proyecto JE</vt:lpstr>
      <vt:lpstr>Aplicación proyecto BD</vt:lpstr>
      <vt:lpstr>Plazo y Costo Estiamdos</vt:lpstr>
      <vt:lpstr>Final</vt:lpstr>
      <vt:lpstr>Resumen PPT</vt:lpstr>
      <vt:lpstr>'Riesgos genericos proyectos'!Área_de_impresión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Gomez Donoso Claudio (Contratista-Teniente)</dc:creator>
  <cp:lastModifiedBy>CODELCO</cp:lastModifiedBy>
  <dcterms:created xsi:type="dcterms:W3CDTF">2018-05-26T13:27:35Z</dcterms:created>
  <dcterms:modified xsi:type="dcterms:W3CDTF">2018-09-24T23:35:54Z</dcterms:modified>
</cp:coreProperties>
</file>