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2.xml" ContentType="application/vnd.openxmlformats-officedocument.drawing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risel.barraza\Desktop\ANEXOS TT\"/>
    </mc:Choice>
  </mc:AlternateContent>
  <bookViews>
    <workbookView xWindow="0" yWindow="0" windowWidth="20400" windowHeight="7620"/>
  </bookViews>
  <sheets>
    <sheet name="Demanda graf" sheetId="1" r:id="rId1"/>
    <sheet name="INVERSION" sheetId="3" r:id="rId2"/>
    <sheet name="CAPITAL DE TRABAJO" sheetId="10" r:id="rId3"/>
    <sheet name="GASTOS" sheetId="4" r:id="rId4"/>
    <sheet name="INGRESOS" sheetId="5" r:id="rId5"/>
    <sheet name="DEPRECIACIÓN" sheetId="6" r:id="rId6"/>
    <sheet name="RECUPERACIÓN DE IVA" sheetId="7" r:id="rId7"/>
    <sheet name="PROYECTO PURO" sheetId="11" r:id="rId8"/>
    <sheet name="PROYECTO FINAN 50" sheetId="12" r:id="rId9"/>
    <sheet name="PROYECTO FINAN 75" sheetId="14" r:id="rId10"/>
    <sheet name="SENSIBILIZACION" sheetId="9" r:id="rId11"/>
  </sheets>
  <externalReferences>
    <externalReference r:id="rId1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4" i="9" l="1"/>
  <c r="C24" i="9"/>
  <c r="O43" i="11"/>
  <c r="N43" i="11"/>
  <c r="O42" i="11"/>
  <c r="N42" i="11"/>
  <c r="O41" i="11"/>
  <c r="N41" i="11"/>
  <c r="M43" i="11"/>
  <c r="M42" i="11"/>
  <c r="M41" i="11"/>
  <c r="C54" i="14"/>
  <c r="C44" i="11"/>
  <c r="E23" i="14"/>
  <c r="E23" i="12"/>
  <c r="E12" i="12"/>
  <c r="E43" i="12" l="1"/>
  <c r="E42" i="12"/>
  <c r="P63" i="14"/>
  <c r="P66" i="14" s="1"/>
  <c r="T26" i="4" s="1"/>
  <c r="U26" i="4" s="1"/>
  <c r="P64" i="14"/>
  <c r="P61" i="11"/>
  <c r="M66" i="14"/>
  <c r="C7" i="5" s="1"/>
  <c r="D7" i="5" s="1"/>
  <c r="M63" i="14"/>
  <c r="M64" i="14"/>
  <c r="M63" i="11"/>
  <c r="M61" i="11"/>
  <c r="D29" i="14"/>
  <c r="D29" i="12"/>
  <c r="C47" i="14"/>
  <c r="C48" i="14" s="1"/>
  <c r="C47" i="12"/>
  <c r="C48" i="12" s="1"/>
  <c r="C51" i="12"/>
  <c r="C51" i="14" s="1"/>
  <c r="C49" i="12"/>
  <c r="C49" i="14" s="1"/>
  <c r="C47" i="11"/>
  <c r="C49" i="11" s="1"/>
  <c r="C25" i="11"/>
  <c r="C25" i="12" s="1"/>
  <c r="I11" i="3"/>
  <c r="H11" i="3"/>
  <c r="C10" i="10"/>
  <c r="C21" i="10"/>
  <c r="C25" i="14" l="1"/>
  <c r="V41" i="14"/>
  <c r="U41" i="14"/>
  <c r="M68" i="11" l="1"/>
  <c r="M60" i="11"/>
  <c r="P60" i="11" l="1"/>
  <c r="H7" i="14"/>
  <c r="G7" i="14"/>
  <c r="F7" i="14"/>
  <c r="E7" i="14"/>
  <c r="D7" i="14"/>
  <c r="I30" i="3" l="1"/>
  <c r="H30" i="3"/>
  <c r="I22" i="3"/>
  <c r="AC25" i="4"/>
  <c r="AC24" i="4"/>
  <c r="AB24" i="4"/>
  <c r="AC21" i="4"/>
  <c r="AB21" i="4"/>
  <c r="AB25" i="4"/>
  <c r="O25" i="9"/>
  <c r="O24" i="9"/>
  <c r="I25" i="9"/>
  <c r="C25" i="9"/>
  <c r="M67" i="11"/>
  <c r="P63" i="11"/>
  <c r="C50" i="14"/>
  <c r="C46" i="14" s="1"/>
  <c r="C44" i="14"/>
  <c r="C50" i="12"/>
  <c r="C44" i="12"/>
  <c r="H7" i="12"/>
  <c r="G7" i="12"/>
  <c r="F7" i="12"/>
  <c r="E7" i="12"/>
  <c r="D7" i="12"/>
  <c r="E7" i="11"/>
  <c r="F7" i="11"/>
  <c r="G7" i="11"/>
  <c r="H7" i="11"/>
  <c r="D7" i="11"/>
  <c r="C14" i="7"/>
  <c r="D14" i="7" s="1"/>
  <c r="E14" i="7" s="1"/>
  <c r="F14" i="7" s="1"/>
  <c r="G14" i="7" s="1"/>
  <c r="D27" i="6"/>
  <c r="E27" i="6" s="1"/>
  <c r="D12" i="6"/>
  <c r="E12" i="6" s="1"/>
  <c r="H12" i="6" s="1"/>
  <c r="D2" i="6"/>
  <c r="D25" i="6" s="1"/>
  <c r="E25" i="6" s="1"/>
  <c r="H25" i="6" s="1"/>
  <c r="P6" i="10"/>
  <c r="G21" i="10"/>
  <c r="G9" i="10" s="1"/>
  <c r="J21" i="10"/>
  <c r="J9" i="10" s="1"/>
  <c r="J10" i="10" s="1"/>
  <c r="O21" i="10"/>
  <c r="R21" i="10"/>
  <c r="C2" i="10"/>
  <c r="D21" i="10" s="1"/>
  <c r="D9" i="10" s="1"/>
  <c r="D8" i="10"/>
  <c r="E8" i="10"/>
  <c r="F8" i="10"/>
  <c r="G8" i="10"/>
  <c r="H8" i="10"/>
  <c r="I8" i="10"/>
  <c r="J8" i="10"/>
  <c r="K8" i="10"/>
  <c r="L8" i="10"/>
  <c r="M8" i="10"/>
  <c r="N8" i="10"/>
  <c r="C8" i="10"/>
  <c r="C3" i="5"/>
  <c r="D6" i="5"/>
  <c r="E6" i="5" s="1"/>
  <c r="F6" i="5" s="1"/>
  <c r="G6" i="5" s="1"/>
  <c r="AA12" i="4"/>
  <c r="AB11" i="4"/>
  <c r="AC11" i="4"/>
  <c r="AD11" i="4"/>
  <c r="AE11" i="4"/>
  <c r="AE12" i="4" s="1"/>
  <c r="AA11" i="4"/>
  <c r="AD12" i="4"/>
  <c r="AC12" i="4"/>
  <c r="AB12" i="4"/>
  <c r="W13" i="4"/>
  <c r="W14" i="4" s="1"/>
  <c r="V14" i="4"/>
  <c r="U14" i="4"/>
  <c r="U8" i="4"/>
  <c r="V8" i="4" s="1"/>
  <c r="W8" i="4" s="1"/>
  <c r="U9" i="4"/>
  <c r="U10" i="4"/>
  <c r="U11" i="4"/>
  <c r="U12" i="4"/>
  <c r="V12" i="4" s="1"/>
  <c r="W12" i="4" s="1"/>
  <c r="U13" i="4"/>
  <c r="V9" i="4"/>
  <c r="W9" i="4" s="1"/>
  <c r="V13" i="4"/>
  <c r="T11" i="4"/>
  <c r="T10" i="4"/>
  <c r="T12" i="4"/>
  <c r="E25" i="4"/>
  <c r="E26" i="4"/>
  <c r="D25" i="4"/>
  <c r="D26" i="4"/>
  <c r="C26" i="4"/>
  <c r="C25" i="4"/>
  <c r="V10" i="4"/>
  <c r="W10" i="4" s="1"/>
  <c r="L28" i="4"/>
  <c r="L27" i="4"/>
  <c r="M27" i="4" s="1"/>
  <c r="V11" i="4" s="1"/>
  <c r="W11" i="4" s="1"/>
  <c r="U18" i="4"/>
  <c r="U19" i="4"/>
  <c r="U20" i="4"/>
  <c r="U21" i="4"/>
  <c r="T21" i="4"/>
  <c r="T22" i="4" s="1"/>
  <c r="U22" i="4" s="1"/>
  <c r="N10" i="4"/>
  <c r="N12" i="4"/>
  <c r="N15" i="4"/>
  <c r="N16" i="4"/>
  <c r="N17" i="4"/>
  <c r="N18" i="4"/>
  <c r="N19" i="4"/>
  <c r="N20" i="4"/>
  <c r="N21" i="4"/>
  <c r="M28" i="4"/>
  <c r="N28" i="4" s="1"/>
  <c r="O28" i="4" s="1"/>
  <c r="K29" i="4"/>
  <c r="M15" i="4"/>
  <c r="M17" i="4"/>
  <c r="M18" i="4"/>
  <c r="L22" i="4"/>
  <c r="M22" i="4" s="1"/>
  <c r="N22" i="4" s="1"/>
  <c r="L21" i="4"/>
  <c r="M21" i="4" s="1"/>
  <c r="L20" i="4"/>
  <c r="M20" i="4" s="1"/>
  <c r="L19" i="4"/>
  <c r="K17" i="4"/>
  <c r="L16" i="4"/>
  <c r="M16" i="4" s="1"/>
  <c r="L15" i="4"/>
  <c r="L14" i="4"/>
  <c r="L13" i="4"/>
  <c r="C24" i="4" s="1"/>
  <c r="D24" i="4" s="1"/>
  <c r="E24" i="4" s="1"/>
  <c r="L12" i="4"/>
  <c r="M12" i="4" s="1"/>
  <c r="L11" i="4"/>
  <c r="M11" i="4" s="1"/>
  <c r="N11" i="4" s="1"/>
  <c r="L10" i="4"/>
  <c r="M10" i="4" s="1"/>
  <c r="L9" i="4"/>
  <c r="C23" i="4" s="1"/>
  <c r="D23" i="4" s="1"/>
  <c r="E23" i="4" s="1"/>
  <c r="L8" i="4"/>
  <c r="L23" i="4" s="1"/>
  <c r="F15" i="4"/>
  <c r="E8" i="4"/>
  <c r="F8" i="4" s="1"/>
  <c r="E16" i="4"/>
  <c r="F16" i="4" s="1"/>
  <c r="E15" i="4"/>
  <c r="E14" i="4"/>
  <c r="F14" i="4" s="1"/>
  <c r="E13" i="4"/>
  <c r="F13" i="4" s="1"/>
  <c r="E12" i="4"/>
  <c r="F12" i="4" s="1"/>
  <c r="E11" i="4"/>
  <c r="F11" i="4" s="1"/>
  <c r="E10" i="4"/>
  <c r="F10" i="4" s="1"/>
  <c r="E9" i="4"/>
  <c r="F9" i="4" s="1"/>
  <c r="F64" i="3"/>
  <c r="F57" i="3"/>
  <c r="E57" i="3"/>
  <c r="E64" i="3"/>
  <c r="E63" i="3"/>
  <c r="F63" i="3" s="1"/>
  <c r="E62" i="3"/>
  <c r="F62" i="3" s="1"/>
  <c r="E61" i="3"/>
  <c r="F61" i="3" s="1"/>
  <c r="E60" i="3"/>
  <c r="F60" i="3" s="1"/>
  <c r="E59" i="3"/>
  <c r="F59" i="3" s="1"/>
  <c r="E58" i="3"/>
  <c r="F58" i="3" s="1"/>
  <c r="F44" i="3"/>
  <c r="F45" i="3"/>
  <c r="F49" i="3"/>
  <c r="E45" i="3"/>
  <c r="E51" i="3"/>
  <c r="F51" i="3" s="1"/>
  <c r="E50" i="3"/>
  <c r="F50" i="3" s="1"/>
  <c r="E49" i="3"/>
  <c r="E48" i="3"/>
  <c r="F48" i="3" s="1"/>
  <c r="E47" i="3"/>
  <c r="F47" i="3" s="1"/>
  <c r="E46" i="3"/>
  <c r="F46" i="3" s="1"/>
  <c r="E44" i="3"/>
  <c r="E33" i="3"/>
  <c r="E34" i="3"/>
  <c r="E35" i="3"/>
  <c r="E36" i="3"/>
  <c r="E37" i="3"/>
  <c r="E38" i="3"/>
  <c r="E39" i="3"/>
  <c r="E32" i="3"/>
  <c r="D39" i="3"/>
  <c r="C9" i="3" s="1"/>
  <c r="D9" i="3" s="1"/>
  <c r="I23" i="3"/>
  <c r="I20" i="3"/>
  <c r="D17" i="3"/>
  <c r="D18" i="3"/>
  <c r="C16" i="3"/>
  <c r="D16" i="3" s="1"/>
  <c r="D8" i="6" l="1"/>
  <c r="E8" i="6" s="1"/>
  <c r="H8" i="6" s="1"/>
  <c r="D23" i="6"/>
  <c r="E23" i="6" s="1"/>
  <c r="H23" i="6" s="1"/>
  <c r="I23" i="6" s="1"/>
  <c r="D20" i="6"/>
  <c r="E20" i="6" s="1"/>
  <c r="H20" i="6" s="1"/>
  <c r="D16" i="6"/>
  <c r="E16" i="6" s="1"/>
  <c r="H16" i="6" s="1"/>
  <c r="I16" i="6" s="1"/>
  <c r="H27" i="6"/>
  <c r="I27" i="6" s="1"/>
  <c r="C8" i="7"/>
  <c r="F52" i="3"/>
  <c r="D11" i="6"/>
  <c r="E11" i="6" s="1"/>
  <c r="H11" i="6" s="1"/>
  <c r="D15" i="6"/>
  <c r="E15" i="6" s="1"/>
  <c r="H15" i="6" s="1"/>
  <c r="I15" i="6" s="1"/>
  <c r="D26" i="6"/>
  <c r="E26" i="6" s="1"/>
  <c r="D13" i="6"/>
  <c r="E13" i="6" s="1"/>
  <c r="H13" i="6" s="1"/>
  <c r="D9" i="6"/>
  <c r="E9" i="6" s="1"/>
  <c r="H9" i="6" s="1"/>
  <c r="D21" i="6"/>
  <c r="E21" i="6" s="1"/>
  <c r="H21" i="6" s="1"/>
  <c r="D17" i="6"/>
  <c r="E17" i="6" s="1"/>
  <c r="H17" i="6" s="1"/>
  <c r="D28" i="6"/>
  <c r="E28" i="6" s="1"/>
  <c r="D24" i="6"/>
  <c r="E24" i="6" s="1"/>
  <c r="H24" i="6" s="1"/>
  <c r="I24" i="6" s="1"/>
  <c r="D7" i="6"/>
  <c r="E7" i="6" s="1"/>
  <c r="H7" i="6" s="1"/>
  <c r="D19" i="6"/>
  <c r="E19" i="6" s="1"/>
  <c r="H19" i="6" s="1"/>
  <c r="D6" i="6"/>
  <c r="E6" i="6" s="1"/>
  <c r="D10" i="6"/>
  <c r="E10" i="6" s="1"/>
  <c r="H10" i="6" s="1"/>
  <c r="D14" i="6"/>
  <c r="E14" i="6" s="1"/>
  <c r="H14" i="6" s="1"/>
  <c r="I14" i="6" s="1"/>
  <c r="D18" i="6"/>
  <c r="E18" i="6" s="1"/>
  <c r="H18" i="6" s="1"/>
  <c r="D22" i="6"/>
  <c r="E22" i="6" s="1"/>
  <c r="H22" i="6" s="1"/>
  <c r="C46" i="12"/>
  <c r="F21" i="10"/>
  <c r="F9" i="10" s="1"/>
  <c r="P8" i="10"/>
  <c r="D10" i="10"/>
  <c r="N21" i="10"/>
  <c r="N9" i="10" s="1"/>
  <c r="S21" i="10"/>
  <c r="K21" i="10"/>
  <c r="K9" i="10" s="1"/>
  <c r="K10" i="10" s="1"/>
  <c r="E10" i="10"/>
  <c r="G10" i="10"/>
  <c r="Q21" i="10"/>
  <c r="M21" i="10"/>
  <c r="M9" i="10" s="1"/>
  <c r="M10" i="10" s="1"/>
  <c r="I21" i="10"/>
  <c r="I9" i="10" s="1"/>
  <c r="I10" i="10" s="1"/>
  <c r="E21" i="10"/>
  <c r="E9" i="10" s="1"/>
  <c r="N10" i="10"/>
  <c r="F10" i="10"/>
  <c r="C9" i="10"/>
  <c r="P21" i="10"/>
  <c r="L21" i="10"/>
  <c r="L9" i="10" s="1"/>
  <c r="L10" i="10" s="1"/>
  <c r="H21" i="10"/>
  <c r="H9" i="10" s="1"/>
  <c r="H10" i="10" s="1"/>
  <c r="C10" i="5"/>
  <c r="D6" i="11" s="1"/>
  <c r="C9" i="5"/>
  <c r="M70" i="11"/>
  <c r="T27" i="4" s="1"/>
  <c r="T28" i="4" s="1"/>
  <c r="D8" i="14" s="1"/>
  <c r="D16" i="7"/>
  <c r="E8" i="7" s="1"/>
  <c r="E21" i="7" s="1"/>
  <c r="C16" i="7"/>
  <c r="D8" i="7" s="1"/>
  <c r="D21" i="7" s="1"/>
  <c r="M13" i="4"/>
  <c r="N13" i="4" s="1"/>
  <c r="M9" i="4"/>
  <c r="N9" i="4" s="1"/>
  <c r="C27" i="4"/>
  <c r="N27" i="4"/>
  <c r="O27" i="4" s="1"/>
  <c r="M19" i="4"/>
  <c r="M14" i="4"/>
  <c r="N14" i="4" s="1"/>
  <c r="M23" i="4"/>
  <c r="N23" i="4" s="1"/>
  <c r="M8" i="4"/>
  <c r="N8" i="4" s="1"/>
  <c r="L29" i="4"/>
  <c r="M29" i="4" s="1"/>
  <c r="N29" i="4" s="1"/>
  <c r="O29" i="4" s="1"/>
  <c r="E17" i="4"/>
  <c r="C31" i="4" s="1"/>
  <c r="E65" i="3"/>
  <c r="E52" i="3"/>
  <c r="C10" i="3" s="1"/>
  <c r="D10" i="3" s="1"/>
  <c r="C19" i="3"/>
  <c r="D19" i="3" s="1"/>
  <c r="C9" i="7" l="1"/>
  <c r="H28" i="6"/>
  <c r="H26" i="6"/>
  <c r="C7" i="7"/>
  <c r="E29" i="6"/>
  <c r="C10" i="7" s="1"/>
  <c r="C22" i="7" s="1"/>
  <c r="H6" i="6"/>
  <c r="I29" i="6"/>
  <c r="E7" i="5"/>
  <c r="F7" i="5" s="1"/>
  <c r="G7" i="5" s="1"/>
  <c r="G10" i="5" s="1"/>
  <c r="P9" i="10"/>
  <c r="P10" i="10"/>
  <c r="E9" i="5"/>
  <c r="U27" i="4"/>
  <c r="V27" i="4" s="1"/>
  <c r="W27" i="4" s="1"/>
  <c r="X27" i="4" s="1"/>
  <c r="D8" i="12"/>
  <c r="D8" i="11"/>
  <c r="V26" i="4"/>
  <c r="E16" i="7"/>
  <c r="F9" i="5"/>
  <c r="G9" i="5"/>
  <c r="D27" i="4"/>
  <c r="E27" i="4" s="1"/>
  <c r="E32" i="4" s="1"/>
  <c r="C32" i="4"/>
  <c r="C33" i="4" s="1"/>
  <c r="F17" i="4"/>
  <c r="D31" i="4" s="1"/>
  <c r="E31" i="4" s="1"/>
  <c r="E33" i="4" s="1"/>
  <c r="F65" i="3"/>
  <c r="C8" i="3"/>
  <c r="D8" i="3" l="1"/>
  <c r="C11" i="3"/>
  <c r="E10" i="14"/>
  <c r="E19" i="14" s="1"/>
  <c r="E10" i="12"/>
  <c r="E19" i="12" s="1"/>
  <c r="E10" i="11"/>
  <c r="E19" i="11" s="1"/>
  <c r="H29" i="6"/>
  <c r="D25" i="7"/>
  <c r="C23" i="7"/>
  <c r="H6" i="14"/>
  <c r="H6" i="11"/>
  <c r="F10" i="5"/>
  <c r="G6" i="14" s="1"/>
  <c r="E10" i="5"/>
  <c r="F6" i="11" s="1"/>
  <c r="F8" i="7"/>
  <c r="F21" i="7" s="1"/>
  <c r="H7" i="7"/>
  <c r="H20" i="7" s="1"/>
  <c r="U28" i="4"/>
  <c r="E8" i="14" s="1"/>
  <c r="H6" i="12"/>
  <c r="W26" i="4"/>
  <c r="V28" i="4"/>
  <c r="F8" i="14" s="1"/>
  <c r="F16" i="7"/>
  <c r="F6" i="12" l="1"/>
  <c r="D29" i="11"/>
  <c r="D10" i="14"/>
  <c r="D19" i="14" s="1"/>
  <c r="D10" i="11"/>
  <c r="D19" i="11" s="1"/>
  <c r="D10" i="12"/>
  <c r="D19" i="12" s="1"/>
  <c r="D11" i="3"/>
  <c r="I8" i="3" s="1"/>
  <c r="H8" i="3"/>
  <c r="G6" i="12"/>
  <c r="F6" i="14"/>
  <c r="F9" i="14" s="1"/>
  <c r="G7" i="7"/>
  <c r="G20" i="7" s="1"/>
  <c r="G6" i="11"/>
  <c r="F7" i="7"/>
  <c r="F20" i="7" s="1"/>
  <c r="F23" i="7" s="1"/>
  <c r="F24" i="7" s="1"/>
  <c r="G8" i="7"/>
  <c r="G21" i="7" s="1"/>
  <c r="E8" i="12"/>
  <c r="E8" i="11"/>
  <c r="F8" i="12"/>
  <c r="F8" i="11"/>
  <c r="F9" i="11" s="1"/>
  <c r="F16" i="11" s="1"/>
  <c r="F17" i="11" s="1"/>
  <c r="X26" i="4"/>
  <c r="X28" i="4" s="1"/>
  <c r="H8" i="14" s="1"/>
  <c r="H9" i="14" s="1"/>
  <c r="W28" i="4"/>
  <c r="G8" i="14" s="1"/>
  <c r="G9" i="14" s="1"/>
  <c r="G16" i="7"/>
  <c r="F9" i="12" l="1"/>
  <c r="C24" i="14"/>
  <c r="C24" i="11"/>
  <c r="C24" i="12"/>
  <c r="G23" i="7"/>
  <c r="G24" i="7" s="1"/>
  <c r="H8" i="7"/>
  <c r="H21" i="7" s="1"/>
  <c r="H23" i="7" s="1"/>
  <c r="H24" i="7" s="1"/>
  <c r="G8" i="11"/>
  <c r="G9" i="11" s="1"/>
  <c r="G16" i="11" s="1"/>
  <c r="G17" i="11" s="1"/>
  <c r="G8" i="12"/>
  <c r="G9" i="12" s="1"/>
  <c r="H8" i="11"/>
  <c r="H9" i="11" s="1"/>
  <c r="H16" i="11" s="1"/>
  <c r="H17" i="11" s="1"/>
  <c r="H8" i="12"/>
  <c r="H9" i="12" s="1"/>
  <c r="F18" i="11"/>
  <c r="F30" i="11" s="1"/>
  <c r="F33" i="11" s="1"/>
  <c r="F34" i="11" s="1"/>
  <c r="G18" i="11" l="1"/>
  <c r="G30" i="11" s="1"/>
  <c r="G33" i="11" s="1"/>
  <c r="G34" i="11" s="1"/>
  <c r="H18" i="11" l="1"/>
  <c r="B22" i="1" l="1"/>
  <c r="B23" i="1"/>
  <c r="B24" i="1"/>
  <c r="B25" i="1"/>
  <c r="B21" i="1"/>
  <c r="O6" i="1"/>
  <c r="O7" i="1"/>
  <c r="O8" i="1"/>
  <c r="O9" i="1"/>
  <c r="O10" i="1"/>
  <c r="D32" i="4" l="1"/>
  <c r="D33" i="4" s="1"/>
  <c r="E5" i="10" l="1"/>
  <c r="E7" i="10" s="1"/>
  <c r="E11" i="10" s="1"/>
  <c r="J5" i="10"/>
  <c r="J7" i="10" s="1"/>
  <c r="J11" i="10" s="1"/>
  <c r="F5" i="10"/>
  <c r="F7" i="10" s="1"/>
  <c r="F11" i="10" s="1"/>
  <c r="H5" i="10"/>
  <c r="H7" i="10" s="1"/>
  <c r="H11" i="10" s="1"/>
  <c r="K5" i="10"/>
  <c r="K7" i="10" s="1"/>
  <c r="K11" i="10" s="1"/>
  <c r="N5" i="10"/>
  <c r="N7" i="10" s="1"/>
  <c r="N11" i="10" s="1"/>
  <c r="I5" i="10"/>
  <c r="I7" i="10" s="1"/>
  <c r="I11" i="10" s="1"/>
  <c r="D5" i="10"/>
  <c r="D7" i="10" s="1"/>
  <c r="D11" i="10" s="1"/>
  <c r="G5" i="10"/>
  <c r="G7" i="10" s="1"/>
  <c r="G11" i="10" s="1"/>
  <c r="L5" i="10"/>
  <c r="L7" i="10" s="1"/>
  <c r="L11" i="10" s="1"/>
  <c r="M5" i="10"/>
  <c r="M7" i="10" s="1"/>
  <c r="M11" i="10" s="1"/>
  <c r="C5" i="10"/>
  <c r="C7" i="10" s="1"/>
  <c r="C11" i="10" l="1"/>
  <c r="C12" i="10" s="1"/>
  <c r="D12" i="10" s="1"/>
  <c r="E12" i="10" s="1"/>
  <c r="F12" i="10" s="1"/>
  <c r="G12" i="10" s="1"/>
  <c r="H12" i="10" s="1"/>
  <c r="I12" i="10" s="1"/>
  <c r="J12" i="10" s="1"/>
  <c r="K12" i="10" s="1"/>
  <c r="L12" i="10" s="1"/>
  <c r="M12" i="10" s="1"/>
  <c r="N12" i="10" s="1"/>
  <c r="D7" i="7"/>
  <c r="D20" i="7" s="1"/>
  <c r="D23" i="7" s="1"/>
  <c r="D24" i="7" s="1"/>
  <c r="D6" i="14"/>
  <c r="D9" i="14" s="1"/>
  <c r="P7" i="10"/>
  <c r="D9" i="11"/>
  <c r="D16" i="11" s="1"/>
  <c r="E13" i="11" s="1"/>
  <c r="D6" i="12"/>
  <c r="D9" i="12" s="1"/>
  <c r="P11" i="10" l="1"/>
  <c r="D18" i="11"/>
  <c r="D30" i="11" s="1"/>
  <c r="P12" i="10"/>
  <c r="C14" i="10"/>
  <c r="D23" i="3" s="1"/>
  <c r="E20" i="11"/>
  <c r="D32" i="11" l="1"/>
  <c r="C23" i="3"/>
  <c r="H9" i="3" s="1"/>
  <c r="I9" i="3"/>
  <c r="C26" i="12" s="1"/>
  <c r="C40" i="11" l="1"/>
  <c r="E23" i="11"/>
  <c r="D33" i="11"/>
  <c r="D34" i="11" s="1"/>
  <c r="C26" i="11"/>
  <c r="H27" i="11" s="1"/>
  <c r="H30" i="11" s="1"/>
  <c r="H33" i="11" s="1"/>
  <c r="H34" i="11" s="1"/>
  <c r="C26" i="14"/>
  <c r="H27" i="12"/>
  <c r="P46" i="11" l="1"/>
  <c r="P48" i="11" s="1"/>
  <c r="E12" i="11" s="1"/>
  <c r="C43" i="11"/>
  <c r="H27" i="14"/>
  <c r="D10" i="5"/>
  <c r="E6" i="11" s="1"/>
  <c r="D9" i="5"/>
  <c r="E6" i="12" l="1"/>
  <c r="E9" i="12" s="1"/>
  <c r="E6" i="14"/>
  <c r="E9" i="14" s="1"/>
  <c r="E7" i="7"/>
  <c r="E20" i="7" s="1"/>
  <c r="E23" i="7" s="1"/>
  <c r="E24" i="7" s="1"/>
  <c r="E9" i="11"/>
  <c r="E16" i="11" s="1"/>
  <c r="E17" i="11" l="1"/>
  <c r="E18" i="11" s="1"/>
  <c r="E30" i="11" s="1"/>
  <c r="E33" i="11" s="1"/>
  <c r="E34" i="11" l="1"/>
  <c r="I21" i="3"/>
  <c r="H24" i="3"/>
  <c r="I24" i="3" l="1"/>
  <c r="I10" i="3" s="1"/>
  <c r="C30" i="14" s="1"/>
  <c r="H10" i="3"/>
  <c r="H12" i="3" s="1"/>
  <c r="H14" i="3" s="1"/>
  <c r="I12" i="3"/>
  <c r="C30" i="11"/>
  <c r="C33" i="11" s="1"/>
  <c r="C54" i="11" s="1"/>
  <c r="C30" i="12" l="1"/>
  <c r="C40" i="14"/>
  <c r="M51" i="11"/>
  <c r="C55" i="11"/>
  <c r="C34" i="11"/>
  <c r="C35" i="11" s="1"/>
  <c r="D35" i="11" s="1"/>
  <c r="E35" i="11" s="1"/>
  <c r="F35" i="11" s="1"/>
  <c r="G35" i="11" s="1"/>
  <c r="H35" i="11" s="1"/>
  <c r="C31" i="14" l="1"/>
  <c r="C33" i="14" s="1"/>
  <c r="C34" i="14" s="1"/>
  <c r="C35" i="14" s="1"/>
  <c r="C43" i="14"/>
  <c r="N48" i="11"/>
  <c r="N50" i="11"/>
  <c r="C40" i="12"/>
  <c r="L37" i="14"/>
  <c r="N52" i="11"/>
  <c r="N53" i="11"/>
  <c r="N49" i="11"/>
  <c r="N54" i="11"/>
  <c r="N51" i="11"/>
  <c r="L38" i="12" l="1"/>
  <c r="M40" i="12" s="1"/>
  <c r="D11" i="12" s="1"/>
  <c r="D16" i="12" s="1"/>
  <c r="C43" i="12"/>
  <c r="P39" i="12" s="1"/>
  <c r="C31" i="12"/>
  <c r="C33" i="12" s="1"/>
  <c r="C34" i="12" s="1"/>
  <c r="C35" i="12" s="1"/>
  <c r="O38" i="14"/>
  <c r="N38" i="14"/>
  <c r="Q38" i="14"/>
  <c r="P38" i="14"/>
  <c r="M38" i="14"/>
  <c r="M43" i="14" s="1"/>
  <c r="M39" i="14"/>
  <c r="D11" i="14" s="1"/>
  <c r="Q39" i="12" l="1"/>
  <c r="N39" i="12"/>
  <c r="O39" i="12"/>
  <c r="M39" i="12"/>
  <c r="M41" i="12" s="1"/>
  <c r="D18" i="12"/>
  <c r="E13" i="12"/>
  <c r="E20" i="12" s="1"/>
  <c r="M40" i="14"/>
  <c r="D16" i="14" l="1"/>
  <c r="D18" i="14" s="1"/>
  <c r="D22" i="14"/>
  <c r="M41" i="14"/>
  <c r="M42" i="12"/>
  <c r="M38" i="12" s="1"/>
  <c r="N40" i="12" s="1"/>
  <c r="D22" i="12"/>
  <c r="D30" i="12" s="1"/>
  <c r="D33" i="12" s="1"/>
  <c r="D34" i="12" s="1"/>
  <c r="E13" i="14" l="1"/>
  <c r="E20" i="14" s="1"/>
  <c r="D35" i="12"/>
  <c r="M37" i="14"/>
  <c r="N39" i="14" s="1"/>
  <c r="E11" i="14" s="1"/>
  <c r="D30" i="14"/>
  <c r="E11" i="12"/>
  <c r="E16" i="12" s="1"/>
  <c r="E17" i="12" s="1"/>
  <c r="E18" i="12" s="1"/>
  <c r="N41" i="12"/>
  <c r="D33" i="14" l="1"/>
  <c r="D34" i="14" s="1"/>
  <c r="D35" i="14" s="1"/>
  <c r="E37" i="14"/>
  <c r="E38" i="14" s="1"/>
  <c r="E12" i="14" s="1"/>
  <c r="N40" i="14"/>
  <c r="N41" i="14" s="1"/>
  <c r="N42" i="12"/>
  <c r="N38" i="12" s="1"/>
  <c r="O40" i="12" s="1"/>
  <c r="E22" i="12"/>
  <c r="E30" i="12" s="1"/>
  <c r="E33" i="12" s="1"/>
  <c r="E34" i="12" l="1"/>
  <c r="E35" i="12" s="1"/>
  <c r="E16" i="14"/>
  <c r="E17" i="14" s="1"/>
  <c r="E18" i="14" s="1"/>
  <c r="E22" i="14"/>
  <c r="N37" i="14"/>
  <c r="O39" i="14" s="1"/>
  <c r="O41" i="12"/>
  <c r="F11" i="12"/>
  <c r="F16" i="12" s="1"/>
  <c r="F17" i="12" s="1"/>
  <c r="F18" i="12" s="1"/>
  <c r="E30" i="14" l="1"/>
  <c r="E33" i="14" s="1"/>
  <c r="E34" i="14" s="1"/>
  <c r="E35" i="14" s="1"/>
  <c r="O40" i="14"/>
  <c r="O41" i="14" s="1"/>
  <c r="F11" i="14"/>
  <c r="O42" i="12"/>
  <c r="O38" i="12" s="1"/>
  <c r="P40" i="12" s="1"/>
  <c r="F22" i="12"/>
  <c r="F30" i="12" s="1"/>
  <c r="F33" i="12" s="1"/>
  <c r="F34" i="12" l="1"/>
  <c r="F35" i="12" s="1"/>
  <c r="F16" i="14"/>
  <c r="F17" i="14" s="1"/>
  <c r="F18" i="14" s="1"/>
  <c r="F22" i="14"/>
  <c r="O37" i="14"/>
  <c r="P39" i="14" s="1"/>
  <c r="G11" i="14" s="1"/>
  <c r="P41" i="12"/>
  <c r="G11" i="12"/>
  <c r="G16" i="12" s="1"/>
  <c r="G17" i="12" s="1"/>
  <c r="G18" i="12" s="1"/>
  <c r="F30" i="14" l="1"/>
  <c r="F33" i="14" s="1"/>
  <c r="F34" i="14" s="1"/>
  <c r="F35" i="14" s="1"/>
  <c r="P40" i="14"/>
  <c r="P41" i="14" s="1"/>
  <c r="G16" i="14"/>
  <c r="G17" i="14" s="1"/>
  <c r="G18" i="14" s="1"/>
  <c r="P42" i="12"/>
  <c r="P38" i="12" s="1"/>
  <c r="Q40" i="12" s="1"/>
  <c r="G22" i="12"/>
  <c r="G30" i="12" s="1"/>
  <c r="G33" i="12" s="1"/>
  <c r="G22" i="14" l="1"/>
  <c r="G30" i="14" s="1"/>
  <c r="G33" i="14" s="1"/>
  <c r="G34" i="14" s="1"/>
  <c r="G35" i="14" s="1"/>
  <c r="G34" i="12"/>
  <c r="G35" i="12" s="1"/>
  <c r="P37" i="14"/>
  <c r="Q39" i="14" s="1"/>
  <c r="H11" i="14" s="1"/>
  <c r="Q41" i="12"/>
  <c r="H11" i="12"/>
  <c r="H16" i="12" s="1"/>
  <c r="H17" i="12" s="1"/>
  <c r="H18" i="12" s="1"/>
  <c r="Q40" i="14" l="1"/>
  <c r="H22" i="14" s="1"/>
  <c r="H16" i="14"/>
  <c r="H17" i="14" s="1"/>
  <c r="H18" i="14" s="1"/>
  <c r="Q42" i="12"/>
  <c r="Q38" i="12" s="1"/>
  <c r="H22" i="12"/>
  <c r="H30" i="12" s="1"/>
  <c r="H33" i="12" s="1"/>
  <c r="Q41" i="14" l="1"/>
  <c r="Q37" i="14" s="1"/>
  <c r="H34" i="12"/>
  <c r="H35" i="12" s="1"/>
  <c r="C53" i="12"/>
  <c r="H30" i="14"/>
  <c r="H33" i="14" s="1"/>
  <c r="C54" i="12"/>
  <c r="H34" i="14" l="1"/>
  <c r="H35" i="14" s="1"/>
  <c r="C53" i="14"/>
  <c r="M50" i="14" s="1"/>
  <c r="N51" i="14" l="1"/>
  <c r="N48" i="14"/>
  <c r="N52" i="14"/>
  <c r="N49" i="14"/>
  <c r="N53" i="14"/>
  <c r="N50" i="14"/>
  <c r="N47" i="14"/>
</calcChain>
</file>

<file path=xl/sharedStrings.xml><?xml version="1.0" encoding="utf-8"?>
<sst xmlns="http://schemas.openxmlformats.org/spreadsheetml/2006/main" count="606" uniqueCount="291">
  <si>
    <t>AÑO</t>
  </si>
  <si>
    <t>POBLACIÓN</t>
  </si>
  <si>
    <t>Y=</t>
  </si>
  <si>
    <t>x-</t>
  </si>
  <si>
    <t>UF</t>
  </si>
  <si>
    <t>INVERSION TOTAL</t>
  </si>
  <si>
    <t>EQUIPAMIENTO INVERSION FIJA*</t>
  </si>
  <si>
    <t>Tabla resumen inversión total</t>
  </si>
  <si>
    <t>Descripción</t>
  </si>
  <si>
    <t>Valor $</t>
  </si>
  <si>
    <t>Valor en UF</t>
  </si>
  <si>
    <t>Valor UF</t>
  </si>
  <si>
    <t>Equipamiento deportivo</t>
  </si>
  <si>
    <t>Activo fijos, equipos y edificaciones</t>
  </si>
  <si>
    <t>Equipamiento de oficina</t>
  </si>
  <si>
    <t>Capital de trabajo</t>
  </si>
  <si>
    <t>Equipamiento recepción</t>
  </si>
  <si>
    <t>Puesta en marcha</t>
  </si>
  <si>
    <t>Total</t>
  </si>
  <si>
    <t>Costo de imporevistos</t>
  </si>
  <si>
    <t>Equipos y edificaciones</t>
  </si>
  <si>
    <t>Patente</t>
  </si>
  <si>
    <t>Pintura</t>
  </si>
  <si>
    <t>Limpieza industrial</t>
  </si>
  <si>
    <t>Espejos e instalación</t>
  </si>
  <si>
    <t>Inversión en puesta en marcha</t>
  </si>
  <si>
    <t>UF sin IVA</t>
  </si>
  <si>
    <t>Firma electrónica</t>
  </si>
  <si>
    <t>Patente municipal</t>
  </si>
  <si>
    <t>Inversion de capital de trabajo</t>
  </si>
  <si>
    <t>Marketing</t>
  </si>
  <si>
    <t>Mes de garantía y arriendo</t>
  </si>
  <si>
    <t>* DETALLE INVERSION FIJA</t>
  </si>
  <si>
    <t>Equipamiento oficina</t>
  </si>
  <si>
    <t>Item</t>
  </si>
  <si>
    <t>Cantidad</t>
  </si>
  <si>
    <t>Escritorio</t>
  </si>
  <si>
    <t>Silla Escritorio</t>
  </si>
  <si>
    <t>Computador</t>
  </si>
  <si>
    <t>Impresora</t>
  </si>
  <si>
    <t>Transbank</t>
  </si>
  <si>
    <t>Librero</t>
  </si>
  <si>
    <t>Basurero</t>
  </si>
  <si>
    <t xml:space="preserve">Total </t>
  </si>
  <si>
    <t>Valor Unitario</t>
  </si>
  <si>
    <t xml:space="preserve">Sillón </t>
  </si>
  <si>
    <t xml:space="preserve">Sillas </t>
  </si>
  <si>
    <t>Mesa centro</t>
  </si>
  <si>
    <t>Dispensador de agua</t>
  </si>
  <si>
    <t>Dispensador toalla papel</t>
  </si>
  <si>
    <t>Dispensador de jabón</t>
  </si>
  <si>
    <t>Dispensador papel higiénico</t>
  </si>
  <si>
    <t>Tatami</t>
  </si>
  <si>
    <t>Paletas</t>
  </si>
  <si>
    <t>Escudos</t>
  </si>
  <si>
    <t>Conos</t>
  </si>
  <si>
    <t>Vallas</t>
  </si>
  <si>
    <t>Escalera de motricidad</t>
  </si>
  <si>
    <t>Pecheras</t>
  </si>
  <si>
    <t>Cabezales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</si>
  <si>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</si>
  <si>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</si>
  <si>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</si>
  <si>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</si>
  <si>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</si>
  <si>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</si>
  <si>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</si>
  <si>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</si>
  <si>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</si>
  <si>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</si>
  <si>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NOV</t>
  </si>
  <si>
    <t>DIC</t>
  </si>
  <si>
    <t>Columna1</t>
  </si>
  <si>
    <t>Columna2</t>
  </si>
  <si>
    <t>Columna3</t>
  </si>
  <si>
    <t>Columna4</t>
  </si>
  <si>
    <t>Columna5</t>
  </si>
  <si>
    <t>Precio unitario</t>
  </si>
  <si>
    <t>Unidades</t>
  </si>
  <si>
    <t>Ingreso por ventas</t>
  </si>
  <si>
    <t>Costos fijos con IVA sin remuneraciones</t>
  </si>
  <si>
    <t>Costo remuneraciones</t>
  </si>
  <si>
    <t>Costo total con remuneraciones</t>
  </si>
  <si>
    <t>Saldo mensual final</t>
  </si>
  <si>
    <t>Saldo acumulado</t>
  </si>
  <si>
    <t>SUELDO VARIABLE</t>
  </si>
  <si>
    <t>Mensual</t>
  </si>
  <si>
    <t>Fecha</t>
  </si>
  <si>
    <t>IVA</t>
  </si>
  <si>
    <t>Insumos de oficina (costo fijo mensual)</t>
  </si>
  <si>
    <t>Insumos de aseo y espacios comunes para puesta en marcha</t>
  </si>
  <si>
    <t>COSTOS FIJOS</t>
  </si>
  <si>
    <t>COSTOS VARIABLES</t>
  </si>
  <si>
    <t>Valor Total $</t>
  </si>
  <si>
    <t>Valor unitario</t>
  </si>
  <si>
    <t>Valor Total</t>
  </si>
  <si>
    <t xml:space="preserve">Total UF c/IVA </t>
  </si>
  <si>
    <t>Total UF s/IVA</t>
  </si>
  <si>
    <t>Costos fijos</t>
  </si>
  <si>
    <t>$ Con IVA</t>
  </si>
  <si>
    <t>UF Mensual</t>
  </si>
  <si>
    <t>Total anual</t>
  </si>
  <si>
    <t>Total sin IVA</t>
  </si>
  <si>
    <t>Resma de papel</t>
  </si>
  <si>
    <t>Aromatizante de ambiente</t>
  </si>
  <si>
    <t>Arriendo</t>
  </si>
  <si>
    <t>Sueldo Instructores</t>
  </si>
  <si>
    <t>Libro de asistencia</t>
  </si>
  <si>
    <t>Desinfectante de piso</t>
  </si>
  <si>
    <t>Internet</t>
  </si>
  <si>
    <t>AÑO 1</t>
  </si>
  <si>
    <t>AÑO 2</t>
  </si>
  <si>
    <t>AÑO 3</t>
  </si>
  <si>
    <t>AÑO 4</t>
  </si>
  <si>
    <t>AÑO 5</t>
  </si>
  <si>
    <t>Corchetera</t>
  </si>
  <si>
    <t>Desinfectante de superficies</t>
  </si>
  <si>
    <t>Luz</t>
  </si>
  <si>
    <t>Corchetes</t>
  </si>
  <si>
    <t>Lustra mueble</t>
  </si>
  <si>
    <t>Agua</t>
  </si>
  <si>
    <t>Perforadora</t>
  </si>
  <si>
    <t>Limpia vidrios</t>
  </si>
  <si>
    <t>Insumos</t>
  </si>
  <si>
    <t>Archivador</t>
  </si>
  <si>
    <t>Bolsas de basura</t>
  </si>
  <si>
    <t>Seguros</t>
  </si>
  <si>
    <t>Tinta impresora</t>
  </si>
  <si>
    <t>Traperos de piso</t>
  </si>
  <si>
    <t>Lapíz tinta</t>
  </si>
  <si>
    <t>Paños de limpieza</t>
  </si>
  <si>
    <t>Organizador multiuso</t>
  </si>
  <si>
    <t>Toalla de papel</t>
  </si>
  <si>
    <t xml:space="preserve">COSTOS FIJOS REMUNERACIONES </t>
  </si>
  <si>
    <t>Remuneraciones</t>
  </si>
  <si>
    <t>Papel higiénico</t>
  </si>
  <si>
    <t>Jabón líquido</t>
  </si>
  <si>
    <t>Administrador</t>
  </si>
  <si>
    <t>Escoba</t>
  </si>
  <si>
    <t>Aseo</t>
  </si>
  <si>
    <t>Pala</t>
  </si>
  <si>
    <t>Contador</t>
  </si>
  <si>
    <t>Insumos de aseo y espacios comunes resumida (gastos fijos)</t>
  </si>
  <si>
    <t>Hisopo cepillo</t>
  </si>
  <si>
    <t>Total mes</t>
  </si>
  <si>
    <t>Instructores</t>
  </si>
  <si>
    <t>Total $</t>
  </si>
  <si>
    <t>Total con IVA</t>
  </si>
  <si>
    <t>Sopapo</t>
  </si>
  <si>
    <t>Total año</t>
  </si>
  <si>
    <t>Químicos de limpieza</t>
  </si>
  <si>
    <t>Artículos de limpieza</t>
  </si>
  <si>
    <t xml:space="preserve">COSTOS FIJOS TOTALES </t>
  </si>
  <si>
    <t>Implementos de limpieza</t>
  </si>
  <si>
    <t>Año 1</t>
  </si>
  <si>
    <t>Año 2</t>
  </si>
  <si>
    <t>Año 3</t>
  </si>
  <si>
    <t>Año 4</t>
  </si>
  <si>
    <t>Año 5</t>
  </si>
  <si>
    <t>Consumibles de baño</t>
  </si>
  <si>
    <t>Descripicón</t>
  </si>
  <si>
    <t>Valor Mes $</t>
  </si>
  <si>
    <t>Valor Mes UF</t>
  </si>
  <si>
    <t>Año con Iva</t>
  </si>
  <si>
    <t>Año sin IVA</t>
  </si>
  <si>
    <t xml:space="preserve">Costos fijos </t>
  </si>
  <si>
    <t>Consumo de agua</t>
  </si>
  <si>
    <t>Cosumo de electricidad</t>
  </si>
  <si>
    <t>Valor con IVA</t>
  </si>
  <si>
    <t>Valor sin IVA</t>
  </si>
  <si>
    <t>Insumos de oficina</t>
  </si>
  <si>
    <t xml:space="preserve">Insumos de aseo </t>
  </si>
  <si>
    <t>%</t>
  </si>
  <si>
    <t>Precio $</t>
  </si>
  <si>
    <t>Precio UF</t>
  </si>
  <si>
    <t>Alumnos</t>
  </si>
  <si>
    <t>Total UF</t>
  </si>
  <si>
    <t xml:space="preserve">Precio </t>
  </si>
  <si>
    <t>Demanda</t>
  </si>
  <si>
    <t>Precio Total</t>
  </si>
  <si>
    <t>V. Util normal</t>
  </si>
  <si>
    <t>V. Util Acelerada</t>
  </si>
  <si>
    <t>% AUMENTO COSTOS</t>
  </si>
  <si>
    <t>SIN IVA</t>
  </si>
  <si>
    <t>AÑO 0</t>
  </si>
  <si>
    <t>INGRESOS</t>
  </si>
  <si>
    <t>EGRESOS SUJETOS A IVA</t>
  </si>
  <si>
    <t>INSUMOS</t>
  </si>
  <si>
    <t>EGRESO INVERISIONES</t>
  </si>
  <si>
    <t>EGRESOS CON IVA</t>
  </si>
  <si>
    <t>FIJOS</t>
  </si>
  <si>
    <t>VARIABLES</t>
  </si>
  <si>
    <t>TOTAL</t>
  </si>
  <si>
    <t>BALANCE DE IVA</t>
  </si>
  <si>
    <t>INGRESOS POR IVA</t>
  </si>
  <si>
    <t>EGRESO POR IVA COSTOS</t>
  </si>
  <si>
    <t>EGRESO POR IVA INVERSIÓN</t>
  </si>
  <si>
    <t>SALDO POR IVA</t>
  </si>
  <si>
    <t>CRÉDITO/DÉBITO POR IVA</t>
  </si>
  <si>
    <t>IVA AL FLUJO DE CAJA</t>
  </si>
  <si>
    <t>IMPUESTO A LA RENTA</t>
  </si>
  <si>
    <t>Año 0</t>
  </si>
  <si>
    <t>Ingresos</t>
  </si>
  <si>
    <t>Costos Variables</t>
  </si>
  <si>
    <t>Costos Fijos</t>
  </si>
  <si>
    <t>Utilidad Operacional</t>
  </si>
  <si>
    <t>Depreciación</t>
  </si>
  <si>
    <t>Intereses Crédito Largo Plazo</t>
  </si>
  <si>
    <t>Intereses Crédito Corto Plazo</t>
  </si>
  <si>
    <t>Pérdida Ejercicio Anterior</t>
  </si>
  <si>
    <t>Venta de Activo</t>
  </si>
  <si>
    <t>Valor Libro</t>
  </si>
  <si>
    <t>Utilidad Antes de Impuestos</t>
  </si>
  <si>
    <t>Impuestos</t>
  </si>
  <si>
    <t>Utilidad Despues de Impuestos</t>
  </si>
  <si>
    <t>Amortización Crédito Largo Plazo</t>
  </si>
  <si>
    <t>Amortización Crédito Corto Plazo</t>
  </si>
  <si>
    <t>Inversión Activos Fijos</t>
  </si>
  <si>
    <t>Inversión en Intangibles, Puesta en Marcha e imprevistos</t>
  </si>
  <si>
    <t>Inversión en Capital de Trabajo</t>
  </si>
  <si>
    <t>Recuperación Capital de Trabajo</t>
  </si>
  <si>
    <t>Valor de Desecho del proyecto</t>
  </si>
  <si>
    <t>Recuperación de IVA</t>
  </si>
  <si>
    <t>Flujo Antes de Financiamiento</t>
  </si>
  <si>
    <t>Crédito Largo Plazo</t>
  </si>
  <si>
    <t>Crédito Corto Plazo</t>
  </si>
  <si>
    <t>Flujo Despues de Financiamiento</t>
  </si>
  <si>
    <t>Flujo Despues de Financiamiento Actualizado</t>
  </si>
  <si>
    <t>Flujo Despues de Financiamiento Actualizado Acumulado</t>
  </si>
  <si>
    <t>Tipo de proyecto</t>
  </si>
  <si>
    <t>Tasa de descuento</t>
  </si>
  <si>
    <t>VAN (UF)</t>
  </si>
  <si>
    <t>TIR</t>
  </si>
  <si>
    <t>PRI</t>
  </si>
  <si>
    <t>Proyecto puro</t>
  </si>
  <si>
    <t>Financiemiento al 50%</t>
  </si>
  <si>
    <t>Financiamiento al 75%</t>
  </si>
  <si>
    <t>VARIACIÓN VARIABLE A SENSIBILIZAR</t>
  </si>
  <si>
    <t>Tasa de descuento CAPM</t>
  </si>
  <si>
    <t>VAR. VAR</t>
  </si>
  <si>
    <t>VAN</t>
  </si>
  <si>
    <t>Var. VAN</t>
  </si>
  <si>
    <t>Riesgo país</t>
  </si>
  <si>
    <t>Tasa descuento R</t>
  </si>
  <si>
    <t>Tasa libre de riego</t>
  </si>
  <si>
    <t>Tasa de mercado</t>
  </si>
  <si>
    <t>Beta</t>
  </si>
  <si>
    <t>Variación Precio</t>
  </si>
  <si>
    <t>Variación Demanda</t>
  </si>
  <si>
    <t>PRECIO VENTA</t>
  </si>
  <si>
    <t>COSTO FIJO</t>
  </si>
  <si>
    <t>Variación Costo Insumos</t>
  </si>
  <si>
    <t>Variación Costo remuneraciones</t>
  </si>
  <si>
    <t>TASA VARIACIÓN</t>
  </si>
  <si>
    <t xml:space="preserve">Variación dólar </t>
  </si>
  <si>
    <t>TASA CRECIMIENTO</t>
  </si>
  <si>
    <t>REMUNERACIONES</t>
  </si>
  <si>
    <t>CREDITO</t>
  </si>
  <si>
    <t>0</t>
  </si>
  <si>
    <t>1</t>
  </si>
  <si>
    <t>2</t>
  </si>
  <si>
    <t>3</t>
  </si>
  <si>
    <t>4</t>
  </si>
  <si>
    <t>5</t>
  </si>
  <si>
    <t>CAPITAL</t>
  </si>
  <si>
    <t>% Financiamiento</t>
  </si>
  <si>
    <t>CUOTA</t>
  </si>
  <si>
    <t>Monto Financiamento</t>
  </si>
  <si>
    <t>INTERES</t>
  </si>
  <si>
    <t>Interés LP</t>
  </si>
  <si>
    <t>AMORTIZ</t>
  </si>
  <si>
    <t>Plazo</t>
  </si>
  <si>
    <t>RESIDUAL</t>
  </si>
  <si>
    <t>Cuota</t>
  </si>
  <si>
    <t>% Financiamiento Propio</t>
  </si>
  <si>
    <t>Tasa de descuento R</t>
  </si>
  <si>
    <t>Tasa de descuento WACC</t>
  </si>
  <si>
    <t>Monto financiado</t>
  </si>
  <si>
    <t>50%</t>
  </si>
  <si>
    <t>75%</t>
  </si>
  <si>
    <t>Interés</t>
  </si>
  <si>
    <t>Monto a pagar</t>
  </si>
  <si>
    <t>Plazo (Años)</t>
  </si>
  <si>
    <t>DESCRIPCIÓN</t>
  </si>
  <si>
    <t>Tasa de descuento WACC 50%</t>
  </si>
  <si>
    <t>Tasa de descuento WACC 75%</t>
  </si>
  <si>
    <t>Total inversión en activos fijos</t>
  </si>
  <si>
    <t>Variación del precio</t>
  </si>
  <si>
    <t>Variación costos fijos</t>
  </si>
  <si>
    <t>Var. de la variable</t>
  </si>
  <si>
    <t>PRECIO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</si>
</sst>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8" formatCode="&quot;$&quot;#,##0.00;[Red]&quot;$&quot;\-#,##0.00"/>
    <numFmt numFmtId="42" formatCode="_ &quot;$&quot;* #,##0_ ;_ &quot;$&quot;* \-#,##0_ ;_ &quot;$&quot;* &quot;-&quot;_ ;_ @_ "/>
    <numFmt numFmtId="164" formatCode="_ &quot;$&quot;* #,##0.00_ ;_ &quot;$&quot;* \-#,##0.00_ ;_ &quot;$&quot;* &quot;-&quot;_ ;_ @_ "/>
    <numFmt numFmtId="165" formatCode="0.0%"/>
    <numFmt numFmtId="166" formatCode="0.0"/>
    <numFmt numFmtId="167" formatCode="0.0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entury Gothic"/>
      <family val="2"/>
    </font>
    <font>
      <sz val="9"/>
      <color theme="1"/>
      <name val="Century Gothic"/>
      <family val="2"/>
    </font>
    <font>
      <b/>
      <sz val="12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7030A0"/>
      <name val="Calibri"/>
      <family val="2"/>
      <scheme val="minor"/>
    </font>
    <font>
      <sz val="11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entury Gothic"/>
      <family val="2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71ACBF"/>
        <bgColor indexed="64"/>
      </patternFill>
    </fill>
    <fill>
      <patternFill patternType="solid">
        <fgColor rgb="FF6BA6D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theme="8" tint="0.59999389629810485"/>
      </patternFill>
    </fill>
    <fill>
      <patternFill patternType="solid">
        <fgColor theme="8" tint="0.59999389629810485"/>
        <bgColor theme="8" tint="0.79998168889431442"/>
      </patternFill>
    </fill>
    <fill>
      <patternFill patternType="solid">
        <fgColor rgb="FFB8DCE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6D95F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A9EFC"/>
        <bgColor indexed="64"/>
      </patternFill>
    </fill>
    <fill>
      <patternFill patternType="solid">
        <fgColor rgb="FF0070C0"/>
        <bgColor indexed="64"/>
      </patternFill>
    </fill>
  </fills>
  <borders count="81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8" tint="-0.249977111117893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8" tint="-0.249977111117893"/>
      </top>
      <bottom style="thick">
        <color theme="8" tint="-0.249977111117893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50505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505050"/>
      </right>
      <top style="medium">
        <color rgb="FFCCCCCC"/>
      </top>
      <bottom style="medium">
        <color rgb="FF50505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50505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0"/>
      </left>
      <right style="medium">
        <color theme="4" tint="-0.249977111117893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4" tint="-0.249977111117893"/>
      </bottom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/>
      <right style="thin">
        <color theme="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0070C0"/>
      </left>
      <right style="thin">
        <color theme="0"/>
      </right>
      <top style="medium">
        <color rgb="FF0070C0"/>
      </top>
      <bottom style="thick">
        <color theme="8" tint="-0.249977111117893"/>
      </bottom>
      <diagonal/>
    </border>
    <border>
      <left/>
      <right style="thick">
        <color theme="8" tint="-0.249977111117893"/>
      </right>
      <top style="medium">
        <color rgb="FF0070C0"/>
      </top>
      <bottom style="thick">
        <color theme="8" tint="-0.249977111117893"/>
      </bottom>
      <diagonal/>
    </border>
    <border>
      <left/>
      <right style="medium">
        <color rgb="FF0070C0"/>
      </right>
      <top style="medium">
        <color rgb="FF0070C0"/>
      </top>
      <bottom style="thick">
        <color theme="8" tint="-0.249977111117893"/>
      </bottom>
      <diagonal/>
    </border>
    <border>
      <left style="medium">
        <color rgb="FF0070C0"/>
      </left>
      <right style="thin">
        <color theme="0"/>
      </right>
      <top style="thick">
        <color theme="8" tint="-0.249977111117893"/>
      </top>
      <bottom style="thin">
        <color theme="0"/>
      </bottom>
      <diagonal/>
    </border>
    <border>
      <left style="thin">
        <color theme="0"/>
      </left>
      <right style="medium">
        <color rgb="FF0070C0"/>
      </right>
      <top style="thick">
        <color theme="8" tint="-0.249977111117893"/>
      </top>
      <bottom style="thin">
        <color theme="0"/>
      </bottom>
      <diagonal/>
    </border>
    <border>
      <left style="medium">
        <color rgb="FF0070C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rgb="FF0070C0"/>
      </right>
      <top style="thin">
        <color theme="0"/>
      </top>
      <bottom style="thin">
        <color theme="0"/>
      </bottom>
      <diagonal/>
    </border>
    <border>
      <left style="medium">
        <color rgb="FF0070C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rgb="FF0070C0"/>
      </right>
      <top style="thin">
        <color theme="0"/>
      </top>
      <bottom/>
      <diagonal/>
    </border>
    <border>
      <left style="medium">
        <color rgb="FF0070C0"/>
      </left>
      <right style="thin">
        <color theme="0"/>
      </right>
      <top style="thick">
        <color theme="8" tint="-0.249977111117893"/>
      </top>
      <bottom style="thick">
        <color theme="8" tint="-0.249977111117893"/>
      </bottom>
      <diagonal/>
    </border>
    <border>
      <left style="thin">
        <color theme="0"/>
      </left>
      <right style="medium">
        <color rgb="FF0070C0"/>
      </right>
      <top style="thick">
        <color theme="8" tint="-0.249977111117893"/>
      </top>
      <bottom style="thick">
        <color theme="8" tint="-0.249977111117893"/>
      </bottom>
      <diagonal/>
    </border>
    <border>
      <left style="medium">
        <color rgb="FF0070C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rgb="FF0070C0"/>
      </right>
      <top/>
      <bottom style="thin">
        <color theme="0"/>
      </bottom>
      <diagonal/>
    </border>
    <border>
      <left style="medium">
        <color rgb="FF0070C0"/>
      </left>
      <right style="thin">
        <color theme="0"/>
      </right>
      <top/>
      <bottom/>
      <diagonal/>
    </border>
    <border>
      <left style="thin">
        <color theme="0"/>
      </left>
      <right style="medium">
        <color rgb="FF0070C0"/>
      </right>
      <top/>
      <bottom/>
      <diagonal/>
    </border>
    <border>
      <left style="medium">
        <color rgb="FF0070C0"/>
      </left>
      <right style="thin">
        <color theme="0"/>
      </right>
      <top style="thick">
        <color theme="8" tint="-0.249977111117893"/>
      </top>
      <bottom style="medium">
        <color rgb="FF0070C0"/>
      </bottom>
      <diagonal/>
    </border>
    <border>
      <left style="thin">
        <color theme="0"/>
      </left>
      <right style="thin">
        <color theme="0"/>
      </right>
      <top style="thick">
        <color theme="8" tint="-0.249977111117893"/>
      </top>
      <bottom style="medium">
        <color rgb="FF0070C0"/>
      </bottom>
      <diagonal/>
    </border>
    <border>
      <left style="thin">
        <color theme="0"/>
      </left>
      <right style="medium">
        <color rgb="FF0070C0"/>
      </right>
      <top style="thick">
        <color theme="8" tint="-0.249977111117893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rgb="FF0070C0"/>
      </left>
      <right style="thin">
        <color theme="0"/>
      </right>
      <top style="medium">
        <color rgb="FF0070C0"/>
      </top>
      <bottom style="medium">
        <color rgb="FF0070C0"/>
      </bottom>
      <diagonal/>
    </border>
    <border>
      <left style="thin">
        <color theme="0"/>
      </left>
      <right style="thin">
        <color theme="0"/>
      </right>
      <top style="medium">
        <color rgb="FF0070C0"/>
      </top>
      <bottom style="medium">
        <color rgb="FF0070C0"/>
      </bottom>
      <diagonal/>
    </border>
    <border>
      <left style="thin">
        <color theme="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 style="medium">
        <color theme="4" tint="-0.249977111117893"/>
      </left>
      <right style="thin">
        <color theme="0"/>
      </right>
      <top style="medium">
        <color theme="4" tint="-0.249977111117893"/>
      </top>
      <bottom style="thick">
        <color theme="8" tint="-0.249977111117893"/>
      </bottom>
      <diagonal/>
    </border>
    <border>
      <left/>
      <right style="thick">
        <color theme="8" tint="-0.249977111117893"/>
      </right>
      <top style="medium">
        <color theme="4" tint="-0.249977111117893"/>
      </top>
      <bottom style="thick">
        <color theme="8" tint="-0.249977111117893"/>
      </bottom>
      <diagonal/>
    </border>
    <border>
      <left/>
      <right style="medium">
        <color theme="4" tint="-0.249977111117893"/>
      </right>
      <top style="medium">
        <color theme="4" tint="-0.249977111117893"/>
      </top>
      <bottom style="thick">
        <color theme="8" tint="-0.249977111117893"/>
      </bottom>
      <diagonal/>
    </border>
    <border>
      <left style="medium">
        <color theme="4" tint="-0.249977111117893"/>
      </left>
      <right style="thin">
        <color theme="0"/>
      </right>
      <top style="thick">
        <color theme="8" tint="-0.249977111117893"/>
      </top>
      <bottom style="thin">
        <color theme="0"/>
      </bottom>
      <diagonal/>
    </border>
    <border>
      <left style="thin">
        <color theme="0"/>
      </left>
      <right style="medium">
        <color theme="4" tint="-0.249977111117893"/>
      </right>
      <top style="thick">
        <color theme="8" tint="-0.249977111117893"/>
      </top>
      <bottom style="thin">
        <color theme="0"/>
      </bottom>
      <diagonal/>
    </border>
    <border>
      <left style="medium">
        <color theme="4" tint="-0.249977111117893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4" tint="-0.249977111117893"/>
      </right>
      <top style="thin">
        <color theme="0"/>
      </top>
      <bottom style="thin">
        <color theme="0"/>
      </bottom>
      <diagonal/>
    </border>
    <border>
      <left style="medium">
        <color theme="4" tint="-0.249977111117893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theme="4" tint="-0.249977111117893"/>
      </right>
      <top style="thin">
        <color theme="0"/>
      </top>
      <bottom/>
      <diagonal/>
    </border>
    <border>
      <left style="medium">
        <color theme="4" tint="-0.249977111117893"/>
      </left>
      <right style="thin">
        <color theme="0"/>
      </right>
      <top style="thick">
        <color theme="8" tint="-0.249977111117893"/>
      </top>
      <bottom style="thick">
        <color theme="8" tint="-0.249977111117893"/>
      </bottom>
      <diagonal/>
    </border>
    <border>
      <left style="thin">
        <color theme="0"/>
      </left>
      <right style="medium">
        <color theme="4" tint="-0.249977111117893"/>
      </right>
      <top style="thick">
        <color theme="8" tint="-0.249977111117893"/>
      </top>
      <bottom style="thick">
        <color theme="8" tint="-0.249977111117893"/>
      </bottom>
      <diagonal/>
    </border>
    <border>
      <left style="medium">
        <color theme="4" tint="-0.249977111117893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theme="4" tint="-0.249977111117893"/>
      </right>
      <top/>
      <bottom style="thin">
        <color theme="0"/>
      </bottom>
      <diagonal/>
    </border>
    <border>
      <left style="medium">
        <color theme="4" tint="-0.249977111117893"/>
      </left>
      <right style="thin">
        <color theme="0"/>
      </right>
      <top/>
      <bottom/>
      <diagonal/>
    </border>
    <border>
      <left style="thin">
        <color theme="0"/>
      </left>
      <right style="medium">
        <color theme="4" tint="-0.249977111117893"/>
      </right>
      <top/>
      <bottom/>
      <diagonal/>
    </border>
    <border>
      <left style="medium">
        <color theme="4" tint="-0.249977111117893"/>
      </left>
      <right style="thin">
        <color theme="0"/>
      </right>
      <top style="thick">
        <color theme="8" tint="-0.249977111117893"/>
      </top>
      <bottom style="medium">
        <color theme="4" tint="-0.249977111117893"/>
      </bottom>
      <diagonal/>
    </border>
    <border>
      <left style="thin">
        <color theme="0"/>
      </left>
      <right style="thin">
        <color theme="0"/>
      </right>
      <top style="thick">
        <color theme="8" tint="-0.249977111117893"/>
      </top>
      <bottom style="medium">
        <color theme="4" tint="-0.249977111117893"/>
      </bottom>
      <diagonal/>
    </border>
    <border>
      <left style="thin">
        <color theme="0"/>
      </left>
      <right style="medium">
        <color theme="4" tint="-0.249977111117893"/>
      </right>
      <top style="thick">
        <color theme="8" tint="-0.249977111117893"/>
      </top>
      <bottom style="medium">
        <color theme="4" tint="-0.249977111117893"/>
      </bottom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409">
    <xf numFmtId="0" fontId="0" fillId="0" borderId="0" xfId="0"/>
    <xf numFmtId="1" fontId="0" fillId="0" borderId="0" xfId="0" applyNumberFormat="1"/>
    <xf numFmtId="0" fontId="2" fillId="2" borderId="1" xfId="0" applyFont="1" applyFill="1" applyBorder="1"/>
    <xf numFmtId="0" fontId="2" fillId="2" borderId="2" xfId="0" applyFont="1" applyFill="1" applyBorder="1"/>
    <xf numFmtId="0" fontId="0" fillId="3" borderId="3" xfId="0" applyFill="1" applyBorder="1"/>
    <xf numFmtId="0" fontId="0" fillId="4" borderId="3" xfId="0" applyFill="1" applyBorder="1"/>
    <xf numFmtId="0" fontId="0" fillId="3" borderId="5" xfId="0" applyFill="1" applyBorder="1"/>
    <xf numFmtId="11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9" fontId="0" fillId="0" borderId="0" xfId="0" applyNumberFormat="1"/>
    <xf numFmtId="0" fontId="3" fillId="0" borderId="0" xfId="0" applyFont="1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42" fontId="0" fillId="3" borderId="11" xfId="3" applyFont="1" applyFill="1" applyBorder="1" applyAlignment="1">
      <alignment horizontal="center"/>
    </xf>
    <xf numFmtId="2" fontId="0" fillId="3" borderId="13" xfId="0" applyNumberFormat="1" applyFill="1" applyBorder="1" applyAlignment="1">
      <alignment horizontal="center"/>
    </xf>
    <xf numFmtId="42" fontId="0" fillId="0" borderId="0" xfId="3" applyFont="1" applyAlignment="1">
      <alignment horizontal="center"/>
    </xf>
    <xf numFmtId="2" fontId="0" fillId="9" borderId="13" xfId="0" applyNumberFormat="1" applyFill="1" applyBorder="1" applyAlignment="1">
      <alignment horizontal="center"/>
    </xf>
    <xf numFmtId="42" fontId="0" fillId="0" borderId="0" xfId="0" applyNumberFormat="1"/>
    <xf numFmtId="0" fontId="0" fillId="10" borderId="3" xfId="0" applyFill="1" applyBorder="1" applyAlignment="1">
      <alignment horizontal="center"/>
    </xf>
    <xf numFmtId="42" fontId="0" fillId="10" borderId="8" xfId="3" applyFont="1" applyFill="1" applyBorder="1" applyAlignment="1">
      <alignment horizontal="center"/>
    </xf>
    <xf numFmtId="166" fontId="0" fillId="0" borderId="0" xfId="0" applyNumberFormat="1"/>
    <xf numFmtId="0" fontId="0" fillId="9" borderId="3" xfId="0" applyFill="1" applyBorder="1" applyAlignment="1">
      <alignment horizontal="center"/>
    </xf>
    <xf numFmtId="42" fontId="0" fillId="9" borderId="8" xfId="3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42" fontId="4" fillId="0" borderId="0" xfId="0" applyNumberFormat="1" applyFont="1" applyAlignment="1">
      <alignment horizontal="center"/>
    </xf>
    <xf numFmtId="2" fontId="4" fillId="3" borderId="13" xfId="0" applyNumberFormat="1" applyFont="1" applyFill="1" applyBorder="1" applyAlignment="1">
      <alignment horizontal="center"/>
    </xf>
    <xf numFmtId="42" fontId="4" fillId="0" borderId="0" xfId="3" applyFont="1" applyAlignment="1">
      <alignment horizontal="center"/>
    </xf>
    <xf numFmtId="2" fontId="4" fillId="0" borderId="0" xfId="0" applyNumberFormat="1" applyFont="1" applyAlignment="1">
      <alignment horizontal="center"/>
    </xf>
    <xf numFmtId="0" fontId="5" fillId="7" borderId="15" xfId="0" applyFont="1" applyFill="1" applyBorder="1" applyAlignment="1">
      <alignment wrapText="1"/>
    </xf>
    <xf numFmtId="0" fontId="5" fillId="7" borderId="17" xfId="0" applyFont="1" applyFill="1" applyBorder="1" applyAlignment="1">
      <alignment wrapText="1"/>
    </xf>
    <xf numFmtId="0" fontId="5" fillId="7" borderId="19" xfId="0" applyFont="1" applyFill="1" applyBorder="1" applyAlignment="1">
      <alignment wrapText="1"/>
    </xf>
    <xf numFmtId="10" fontId="6" fillId="11" borderId="20" xfId="0" applyNumberFormat="1" applyFont="1" applyFill="1" applyBorder="1" applyAlignment="1">
      <alignment horizontal="right" wrapText="1"/>
    </xf>
    <xf numFmtId="0" fontId="0" fillId="0" borderId="21" xfId="0" applyBorder="1" applyAlignment="1">
      <alignment wrapText="1"/>
    </xf>
    <xf numFmtId="0" fontId="0" fillId="0" borderId="22" xfId="0" applyBorder="1" applyAlignment="1">
      <alignment wrapText="1"/>
    </xf>
    <xf numFmtId="0" fontId="7" fillId="7" borderId="19" xfId="0" applyFont="1" applyFill="1" applyBorder="1" applyAlignment="1">
      <alignment wrapText="1"/>
    </xf>
    <xf numFmtId="10" fontId="8" fillId="11" borderId="20" xfId="0" applyNumberFormat="1" applyFont="1" applyFill="1" applyBorder="1" applyAlignment="1">
      <alignment horizontal="right" wrapText="1"/>
    </xf>
    <xf numFmtId="0" fontId="7" fillId="7" borderId="17" xfId="0" applyFont="1" applyFill="1" applyBorder="1" applyAlignment="1">
      <alignment wrapText="1"/>
    </xf>
    <xf numFmtId="10" fontId="8" fillId="11" borderId="18" xfId="0" applyNumberFormat="1" applyFont="1" applyFill="1" applyBorder="1" applyAlignment="1">
      <alignment horizontal="right" wrapText="1"/>
    </xf>
    <xf numFmtId="0" fontId="8" fillId="11" borderId="18" xfId="0" applyFont="1" applyFill="1" applyBorder="1" applyAlignment="1">
      <alignment horizontal="right" wrapText="1"/>
    </xf>
    <xf numFmtId="0" fontId="8" fillId="0" borderId="21" xfId="0" applyFont="1" applyBorder="1" applyAlignment="1">
      <alignment wrapText="1"/>
    </xf>
    <xf numFmtId="3" fontId="9" fillId="11" borderId="18" xfId="0" applyNumberFormat="1" applyFont="1" applyFill="1" applyBorder="1" applyAlignment="1">
      <alignment horizontal="right" wrapText="1"/>
    </xf>
    <xf numFmtId="0" fontId="2" fillId="2" borderId="23" xfId="0" applyFont="1" applyFill="1" applyBorder="1"/>
    <xf numFmtId="42" fontId="0" fillId="0" borderId="0" xfId="3" applyFont="1"/>
    <xf numFmtId="2" fontId="0" fillId="0" borderId="0" xfId="0" applyNumberFormat="1"/>
    <xf numFmtId="0" fontId="4" fillId="0" borderId="0" xfId="0" applyFont="1"/>
    <xf numFmtId="42" fontId="4" fillId="0" borderId="0" xfId="3" applyFont="1"/>
    <xf numFmtId="2" fontId="4" fillId="0" borderId="0" xfId="0" applyNumberFormat="1" applyFont="1"/>
    <xf numFmtId="1" fontId="4" fillId="0" borderId="0" xfId="0" applyNumberFormat="1" applyFont="1" applyAlignment="1">
      <alignment horizontal="center"/>
    </xf>
    <xf numFmtId="0" fontId="0" fillId="12" borderId="0" xfId="0" applyFill="1"/>
    <xf numFmtId="0" fontId="2" fillId="7" borderId="0" xfId="0" applyFont="1" applyFill="1"/>
    <xf numFmtId="1" fontId="4" fillId="0" borderId="0" xfId="3" applyNumberFormat="1" applyFont="1" applyAlignment="1">
      <alignment horizontal="center"/>
    </xf>
    <xf numFmtId="0" fontId="2" fillId="12" borderId="8" xfId="0" applyFont="1" applyFill="1" applyBorder="1" applyAlignment="1">
      <alignment horizontal="center"/>
    </xf>
    <xf numFmtId="164" fontId="0" fillId="5" borderId="3" xfId="3" applyNumberFormat="1" applyFont="1" applyFill="1" applyBorder="1" applyAlignment="1">
      <alignment horizontal="center"/>
    </xf>
    <xf numFmtId="0" fontId="2" fillId="12" borderId="11" xfId="0" applyFont="1" applyFill="1" applyBorder="1" applyAlignment="1">
      <alignment horizontal="center"/>
    </xf>
    <xf numFmtId="14" fontId="0" fillId="5" borderId="12" xfId="0" applyNumberFormat="1" applyFill="1" applyBorder="1" applyAlignment="1">
      <alignment horizontal="center"/>
    </xf>
    <xf numFmtId="42" fontId="0" fillId="0" borderId="0" xfId="3" applyFont="1" applyAlignment="1"/>
    <xf numFmtId="42" fontId="4" fillId="0" borderId="0" xfId="3" applyFont="1" applyAlignment="1"/>
    <xf numFmtId="0" fontId="2" fillId="2" borderId="23" xfId="0" applyFon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166" fontId="4" fillId="0" borderId="0" xfId="0" applyNumberFormat="1" applyFont="1" applyAlignment="1">
      <alignment horizontal="center"/>
    </xf>
    <xf numFmtId="0" fontId="10" fillId="0" borderId="0" xfId="0" applyFont="1"/>
    <xf numFmtId="42" fontId="10" fillId="0" borderId="0" xfId="3" applyFont="1"/>
    <xf numFmtId="2" fontId="10" fillId="0" borderId="0" xfId="0" applyNumberFormat="1" applyFont="1"/>
    <xf numFmtId="0" fontId="11" fillId="0" borderId="0" xfId="0" applyFont="1"/>
    <xf numFmtId="42" fontId="11" fillId="0" borderId="0" xfId="3" applyFont="1"/>
    <xf numFmtId="2" fontId="11" fillId="0" borderId="0" xfId="0" applyNumberFormat="1" applyFont="1"/>
    <xf numFmtId="0" fontId="12" fillId="0" borderId="0" xfId="0" applyFont="1"/>
    <xf numFmtId="42" fontId="12" fillId="0" borderId="0" xfId="3" applyFont="1"/>
    <xf numFmtId="2" fontId="12" fillId="0" borderId="0" xfId="0" applyNumberFormat="1" applyFont="1"/>
    <xf numFmtId="42" fontId="3" fillId="0" borderId="0" xfId="3" applyFont="1"/>
    <xf numFmtId="2" fontId="3" fillId="0" borderId="0" xfId="0" applyNumberFormat="1" applyFont="1"/>
    <xf numFmtId="0" fontId="0" fillId="3" borderId="8" xfId="0" applyFill="1" applyBorder="1"/>
    <xf numFmtId="42" fontId="0" fillId="3" borderId="8" xfId="3" applyFont="1" applyFill="1" applyBorder="1"/>
    <xf numFmtId="2" fontId="0" fillId="3" borderId="8" xfId="0" applyNumberFormat="1" applyFill="1" applyBorder="1"/>
    <xf numFmtId="2" fontId="0" fillId="3" borderId="4" xfId="0" applyNumberFormat="1" applyFill="1" applyBorder="1"/>
    <xf numFmtId="0" fontId="0" fillId="4" borderId="8" xfId="0" applyFill="1" applyBorder="1"/>
    <xf numFmtId="42" fontId="0" fillId="4" borderId="8" xfId="3" applyFont="1" applyFill="1" applyBorder="1"/>
    <xf numFmtId="0" fontId="4" fillId="3" borderId="3" xfId="0" applyFont="1" applyFill="1" applyBorder="1"/>
    <xf numFmtId="0" fontId="4" fillId="3" borderId="8" xfId="0" applyFont="1" applyFill="1" applyBorder="1"/>
    <xf numFmtId="42" fontId="4" fillId="3" borderId="8" xfId="3" applyFont="1" applyFill="1" applyBorder="1"/>
    <xf numFmtId="166" fontId="0" fillId="3" borderId="8" xfId="3" applyNumberFormat="1" applyFont="1" applyFill="1" applyBorder="1"/>
    <xf numFmtId="2" fontId="4" fillId="3" borderId="4" xfId="0" applyNumberFormat="1" applyFont="1" applyFill="1" applyBorder="1"/>
    <xf numFmtId="167" fontId="0" fillId="0" borderId="0" xfId="0" applyNumberFormat="1"/>
    <xf numFmtId="167" fontId="4" fillId="0" borderId="0" xfId="0" applyNumberFormat="1" applyFont="1"/>
    <xf numFmtId="10" fontId="0" fillId="0" borderId="0" xfId="0" applyNumberFormat="1"/>
    <xf numFmtId="42" fontId="0" fillId="0" borderId="0" xfId="1" applyFont="1" applyAlignment="1">
      <alignment horizontal="center"/>
    </xf>
    <xf numFmtId="42" fontId="4" fillId="0" borderId="0" xfId="1" applyFont="1" applyAlignment="1">
      <alignment horizontal="center"/>
    </xf>
    <xf numFmtId="0" fontId="2" fillId="13" borderId="24" xfId="0" applyFont="1" applyFill="1" applyBorder="1"/>
    <xf numFmtId="2" fontId="0" fillId="14" borderId="0" xfId="0" applyNumberFormat="1" applyFill="1"/>
    <xf numFmtId="0" fontId="0" fillId="0" borderId="8" xfId="0" applyBorder="1"/>
    <xf numFmtId="0" fontId="0" fillId="0" borderId="0" xfId="0" applyAlignment="1">
      <alignment textRotation="90"/>
    </xf>
    <xf numFmtId="0" fontId="2" fillId="7" borderId="11" xfId="0" applyFont="1" applyFill="1" applyBorder="1"/>
    <xf numFmtId="0" fontId="2" fillId="7" borderId="8" xfId="0" applyFont="1" applyFill="1" applyBorder="1"/>
    <xf numFmtId="0" fontId="2" fillId="7" borderId="9" xfId="0" applyFont="1" applyFill="1" applyBorder="1"/>
    <xf numFmtId="0" fontId="2" fillId="0" borderId="8" xfId="0" applyFont="1" applyBorder="1"/>
    <xf numFmtId="0" fontId="0" fillId="0" borderId="11" xfId="0" applyBorder="1"/>
    <xf numFmtId="0" fontId="2" fillId="13" borderId="24" xfId="0" applyFont="1" applyFill="1" applyBorder="1" applyAlignment="1">
      <alignment horizontal="center"/>
    </xf>
    <xf numFmtId="1" fontId="0" fillId="5" borderId="24" xfId="0" applyNumberFormat="1" applyFill="1" applyBorder="1" applyAlignment="1">
      <alignment horizontal="center"/>
    </xf>
    <xf numFmtId="0" fontId="2" fillId="7" borderId="8" xfId="0" applyFont="1" applyFill="1" applyBorder="1" applyAlignment="1">
      <alignment horizontal="center"/>
    </xf>
    <xf numFmtId="42" fontId="4" fillId="8" borderId="0" xfId="3" applyFont="1" applyFill="1"/>
    <xf numFmtId="0" fontId="0" fillId="5" borderId="0" xfId="0" applyFill="1"/>
    <xf numFmtId="0" fontId="0" fillId="14" borderId="0" xfId="0" applyFill="1" applyAlignment="1">
      <alignment textRotation="90"/>
    </xf>
    <xf numFmtId="2" fontId="4" fillId="14" borderId="0" xfId="0" applyNumberFormat="1" applyFont="1" applyFill="1"/>
    <xf numFmtId="2" fontId="0" fillId="14" borderId="25" xfId="0" applyNumberFormat="1" applyFill="1" applyBorder="1"/>
    <xf numFmtId="2" fontId="0" fillId="14" borderId="26" xfId="0" applyNumberFormat="1" applyFill="1" applyBorder="1"/>
    <xf numFmtId="2" fontId="14" fillId="14" borderId="27" xfId="0" applyNumberFormat="1" applyFont="1" applyFill="1" applyBorder="1"/>
    <xf numFmtId="1" fontId="0" fillId="0" borderId="0" xfId="3" applyNumberFormat="1" applyFont="1" applyAlignment="1">
      <alignment horizontal="center"/>
    </xf>
    <xf numFmtId="2" fontId="0" fillId="0" borderId="28" xfId="0" applyNumberFormat="1" applyBorder="1"/>
    <xf numFmtId="2" fontId="0" fillId="0" borderId="29" xfId="0" applyNumberFormat="1" applyBorder="1"/>
    <xf numFmtId="2" fontId="3" fillId="0" borderId="30" xfId="0" applyNumberFormat="1" applyFont="1" applyBorder="1"/>
    <xf numFmtId="0" fontId="0" fillId="3" borderId="3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4" fillId="4" borderId="31" xfId="0" applyFont="1" applyFill="1" applyBorder="1" applyAlignment="1">
      <alignment horizontal="center"/>
    </xf>
    <xf numFmtId="10" fontId="0" fillId="0" borderId="32" xfId="0" applyNumberFormat="1" applyBorder="1"/>
    <xf numFmtId="0" fontId="15" fillId="0" borderId="0" xfId="0" applyFont="1" applyAlignment="1">
      <alignment horizontal="center"/>
    </xf>
    <xf numFmtId="1" fontId="15" fillId="0" borderId="0" xfId="0" applyNumberFormat="1" applyFont="1" applyAlignment="1">
      <alignment horizontal="center"/>
    </xf>
    <xf numFmtId="1" fontId="15" fillId="0" borderId="0" xfId="3" applyNumberFormat="1" applyFont="1" applyFill="1" applyBorder="1" applyAlignment="1">
      <alignment horizontal="center"/>
    </xf>
    <xf numFmtId="166" fontId="15" fillId="0" borderId="0" xfId="3" applyNumberFormat="1" applyFont="1" applyFill="1" applyBorder="1" applyAlignment="1">
      <alignment horizontal="center"/>
    </xf>
    <xf numFmtId="2" fontId="15" fillId="0" borderId="0" xfId="3" applyNumberFormat="1" applyFont="1" applyFill="1" applyBorder="1" applyAlignment="1">
      <alignment horizontal="center"/>
    </xf>
    <xf numFmtId="166" fontId="15" fillId="0" borderId="0" xfId="0" applyNumberFormat="1" applyFont="1" applyAlignment="1">
      <alignment horizontal="center"/>
    </xf>
    <xf numFmtId="10" fontId="16" fillId="11" borderId="20" xfId="0" applyNumberFormat="1" applyFont="1" applyFill="1" applyBorder="1" applyAlignment="1">
      <alignment horizontal="right" wrapText="1"/>
    </xf>
    <xf numFmtId="0" fontId="7" fillId="7" borderId="34" xfId="0" applyFont="1" applyFill="1" applyBorder="1" applyAlignment="1">
      <alignment wrapText="1"/>
    </xf>
    <xf numFmtId="9" fontId="9" fillId="11" borderId="35" xfId="0" applyNumberFormat="1" applyFont="1" applyFill="1" applyBorder="1" applyAlignment="1">
      <alignment horizontal="right" wrapText="1"/>
    </xf>
    <xf numFmtId="0" fontId="0" fillId="0" borderId="12" xfId="0" applyBorder="1"/>
    <xf numFmtId="0" fontId="0" fillId="0" borderId="13" xfId="0" applyBorder="1"/>
    <xf numFmtId="0" fontId="0" fillId="8" borderId="3" xfId="0" applyFill="1" applyBorder="1"/>
    <xf numFmtId="166" fontId="0" fillId="8" borderId="8" xfId="0" applyNumberFormat="1" applyFill="1" applyBorder="1"/>
    <xf numFmtId="166" fontId="0" fillId="8" borderId="4" xfId="0" applyNumberFormat="1" applyFill="1" applyBorder="1"/>
    <xf numFmtId="0" fontId="0" fillId="5" borderId="3" xfId="0" applyFill="1" applyBorder="1"/>
    <xf numFmtId="166" fontId="0" fillId="5" borderId="8" xfId="0" applyNumberFormat="1" applyFill="1" applyBorder="1"/>
    <xf numFmtId="166" fontId="0" fillId="5" borderId="4" xfId="0" applyNumberFormat="1" applyFill="1" applyBorder="1"/>
    <xf numFmtId="0" fontId="0" fillId="8" borderId="5" xfId="0" applyFill="1" applyBorder="1"/>
    <xf numFmtId="166" fontId="0" fillId="8" borderId="9" xfId="0" applyNumberFormat="1" applyFill="1" applyBorder="1"/>
    <xf numFmtId="166" fontId="0" fillId="8" borderId="6" xfId="0" applyNumberFormat="1" applyFill="1" applyBorder="1"/>
    <xf numFmtId="0" fontId="0" fillId="15" borderId="0" xfId="0" applyFill="1"/>
    <xf numFmtId="0" fontId="0" fillId="15" borderId="0" xfId="0" applyFill="1" applyAlignment="1">
      <alignment horizontal="center"/>
    </xf>
    <xf numFmtId="0" fontId="0" fillId="15" borderId="54" xfId="0" applyFill="1" applyBorder="1"/>
    <xf numFmtId="9" fontId="0" fillId="0" borderId="54" xfId="2" applyFont="1" applyBorder="1"/>
    <xf numFmtId="42" fontId="0" fillId="0" borderId="54" xfId="3" applyFont="1" applyBorder="1"/>
    <xf numFmtId="10" fontId="0" fillId="0" borderId="54" xfId="2" applyNumberFormat="1" applyFont="1" applyBorder="1"/>
    <xf numFmtId="0" fontId="0" fillId="16" borderId="54" xfId="0" applyFill="1" applyBorder="1"/>
    <xf numFmtId="0" fontId="0" fillId="0" borderId="54" xfId="0" applyBorder="1"/>
    <xf numFmtId="8" fontId="0" fillId="0" borderId="54" xfId="0" applyNumberFormat="1" applyBorder="1"/>
    <xf numFmtId="9" fontId="0" fillId="0" borderId="54" xfId="0" applyNumberFormat="1" applyBorder="1"/>
    <xf numFmtId="2" fontId="0" fillId="0" borderId="54" xfId="0" applyNumberFormat="1" applyBorder="1"/>
    <xf numFmtId="0" fontId="17" fillId="11" borderId="17" xfId="0" applyFont="1" applyFill="1" applyBorder="1" applyAlignment="1">
      <alignment wrapText="1"/>
    </xf>
    <xf numFmtId="9" fontId="17" fillId="11" borderId="18" xfId="2" applyFont="1" applyFill="1" applyBorder="1" applyAlignment="1">
      <alignment horizontal="right" wrapText="1"/>
    </xf>
    <xf numFmtId="0" fontId="17" fillId="11" borderId="0" xfId="0" applyFont="1" applyFill="1" applyAlignment="1">
      <alignment wrapText="1"/>
    </xf>
    <xf numFmtId="0" fontId="2" fillId="13" borderId="0" xfId="0" applyFont="1" applyFill="1" applyAlignment="1">
      <alignment horizontal="center"/>
    </xf>
    <xf numFmtId="2" fontId="0" fillId="4" borderId="8" xfId="0" applyNumberFormat="1" applyFill="1" applyBorder="1" applyAlignment="1">
      <alignment horizontal="center"/>
    </xf>
    <xf numFmtId="2" fontId="0" fillId="4" borderId="4" xfId="0" applyNumberFormat="1" applyFill="1" applyBorder="1" applyAlignment="1">
      <alignment horizontal="center"/>
    </xf>
    <xf numFmtId="2" fontId="0" fillId="3" borderId="3" xfId="0" applyNumberFormat="1" applyFill="1" applyBorder="1"/>
    <xf numFmtId="2" fontId="0" fillId="4" borderId="3" xfId="0" applyNumberFormat="1" applyFill="1" applyBorder="1"/>
    <xf numFmtId="2" fontId="0" fillId="4" borderId="8" xfId="0" applyNumberFormat="1" applyFill="1" applyBorder="1"/>
    <xf numFmtId="2" fontId="0" fillId="4" borderId="4" xfId="0" applyNumberFormat="1" applyFill="1" applyBorder="1"/>
    <xf numFmtId="0" fontId="0" fillId="3" borderId="4" xfId="0" applyFill="1" applyBorder="1" applyAlignment="1">
      <alignment horizontal="center"/>
    </xf>
    <xf numFmtId="42" fontId="0" fillId="8" borderId="0" xfId="1" applyFont="1" applyFill="1"/>
    <xf numFmtId="2" fontId="0" fillId="8" borderId="0" xfId="0" applyNumberFormat="1" applyFill="1"/>
    <xf numFmtId="0" fontId="2" fillId="13" borderId="55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56" xfId="0" applyFont="1" applyFill="1" applyBorder="1" applyAlignment="1">
      <alignment horizontal="center"/>
    </xf>
    <xf numFmtId="2" fontId="0" fillId="5" borderId="8" xfId="0" applyNumberFormat="1" applyFill="1" applyBorder="1" applyAlignment="1">
      <alignment horizontal="center"/>
    </xf>
    <xf numFmtId="1" fontId="0" fillId="8" borderId="8" xfId="0" applyNumberFormat="1" applyFill="1" applyBorder="1" applyAlignment="1">
      <alignment horizontal="center"/>
    </xf>
    <xf numFmtId="0" fontId="0" fillId="0" borderId="8" xfId="0" applyBorder="1" applyAlignment="1">
      <alignment horizontal="center"/>
    </xf>
    <xf numFmtId="42" fontId="0" fillId="0" borderId="8" xfId="3" applyFon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2" fontId="0" fillId="0" borderId="8" xfId="3" applyFont="1" applyBorder="1"/>
    <xf numFmtId="0" fontId="4" fillId="3" borderId="8" xfId="0" applyFont="1" applyFill="1" applyBorder="1" applyAlignment="1">
      <alignment horizontal="center"/>
    </xf>
    <xf numFmtId="42" fontId="4" fillId="3" borderId="8" xfId="3" applyFont="1" applyFill="1" applyBorder="1" applyAlignment="1">
      <alignment horizontal="center"/>
    </xf>
    <xf numFmtId="2" fontId="4" fillId="3" borderId="8" xfId="3" applyNumberFormat="1" applyFont="1" applyFill="1" applyBorder="1" applyAlignment="1">
      <alignment horizontal="center"/>
    </xf>
    <xf numFmtId="42" fontId="0" fillId="9" borderId="8" xfId="3" applyFont="1" applyFill="1" applyBorder="1"/>
    <xf numFmtId="2" fontId="0" fillId="9" borderId="8" xfId="0" applyNumberFormat="1" applyFill="1" applyBorder="1"/>
    <xf numFmtId="166" fontId="0" fillId="9" borderId="8" xfId="3" applyNumberFormat="1" applyFont="1" applyFill="1" applyBorder="1"/>
    <xf numFmtId="2" fontId="0" fillId="9" borderId="4" xfId="0" applyNumberFormat="1" applyFill="1" applyBorder="1"/>
    <xf numFmtId="2" fontId="4" fillId="3" borderId="8" xfId="0" applyNumberFormat="1" applyFont="1" applyFill="1" applyBorder="1"/>
    <xf numFmtId="166" fontId="4" fillId="3" borderId="8" xfId="3" applyNumberFormat="1" applyFont="1" applyFill="1" applyBorder="1"/>
    <xf numFmtId="2" fontId="4" fillId="5" borderId="8" xfId="0" applyNumberFormat="1" applyFont="1" applyFill="1" applyBorder="1"/>
    <xf numFmtId="42" fontId="0" fillId="0" borderId="0" xfId="0" applyNumberFormat="1" applyAlignment="1">
      <alignment horizontal="center"/>
    </xf>
    <xf numFmtId="42" fontId="0" fillId="3" borderId="8" xfId="3" applyFon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42" fontId="0" fillId="4" borderId="8" xfId="1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42" fontId="4" fillId="5" borderId="8" xfId="0" applyNumberFormat="1" applyFont="1" applyFill="1" applyBorder="1" applyAlignment="1">
      <alignment horizontal="center"/>
    </xf>
    <xf numFmtId="166" fontId="4" fillId="3" borderId="3" xfId="0" applyNumberFormat="1" applyFont="1" applyFill="1" applyBorder="1" applyAlignment="1">
      <alignment horizontal="center"/>
    </xf>
    <xf numFmtId="166" fontId="4" fillId="3" borderId="8" xfId="0" applyNumberFormat="1" applyFont="1" applyFill="1" applyBorder="1" applyAlignment="1">
      <alignment horizontal="center"/>
    </xf>
    <xf numFmtId="166" fontId="4" fillId="3" borderId="4" xfId="0" applyNumberFormat="1" applyFont="1" applyFill="1" applyBorder="1" applyAlignment="1">
      <alignment horizontal="center"/>
    </xf>
    <xf numFmtId="0" fontId="2" fillId="17" borderId="8" xfId="0" applyFont="1" applyFill="1" applyBorder="1"/>
    <xf numFmtId="1" fontId="4" fillId="5" borderId="57" xfId="0" applyNumberFormat="1" applyFont="1" applyFill="1" applyBorder="1" applyAlignment="1">
      <alignment horizontal="center"/>
    </xf>
    <xf numFmtId="1" fontId="15" fillId="0" borderId="33" xfId="0" applyNumberFormat="1" applyFont="1" applyBorder="1" applyAlignment="1">
      <alignment horizontal="center"/>
    </xf>
    <xf numFmtId="0" fontId="18" fillId="6" borderId="36" xfId="0" applyFont="1" applyFill="1" applyBorder="1" applyAlignment="1">
      <alignment wrapText="1"/>
    </xf>
    <xf numFmtId="0" fontId="18" fillId="6" borderId="39" xfId="0" applyFont="1" applyFill="1" applyBorder="1" applyAlignment="1">
      <alignment wrapText="1"/>
    </xf>
    <xf numFmtId="0" fontId="5" fillId="6" borderId="7" xfId="0" applyFont="1" applyFill="1" applyBorder="1" applyAlignment="1">
      <alignment horizontal="center" wrapText="1"/>
    </xf>
    <xf numFmtId="1" fontId="19" fillId="5" borderId="8" xfId="0" applyNumberFormat="1" applyFont="1" applyFill="1" applyBorder="1" applyAlignment="1">
      <alignment wrapText="1"/>
    </xf>
    <xf numFmtId="1" fontId="19" fillId="5" borderId="8" xfId="3" applyNumberFormat="1" applyFont="1" applyFill="1" applyBorder="1" applyAlignment="1">
      <alignment horizontal="right" wrapText="1"/>
    </xf>
    <xf numFmtId="1" fontId="19" fillId="8" borderId="8" xfId="0" applyNumberFormat="1" applyFont="1" applyFill="1" applyBorder="1" applyAlignment="1">
      <alignment wrapText="1"/>
    </xf>
    <xf numFmtId="1" fontId="20" fillId="8" borderId="8" xfId="3" applyNumberFormat="1" applyFont="1" applyFill="1" applyBorder="1" applyAlignment="1">
      <alignment horizontal="right" wrapText="1"/>
    </xf>
    <xf numFmtId="1" fontId="19" fillId="5" borderId="9" xfId="0" applyNumberFormat="1" applyFont="1" applyFill="1" applyBorder="1" applyAlignment="1">
      <alignment wrapText="1"/>
    </xf>
    <xf numFmtId="1" fontId="20" fillId="5" borderId="9" xfId="3" applyNumberFormat="1" applyFont="1" applyFill="1" applyBorder="1" applyAlignment="1">
      <alignment horizontal="right" wrapText="1"/>
    </xf>
    <xf numFmtId="1" fontId="19" fillId="8" borderId="10" xfId="0" applyNumberFormat="1" applyFont="1" applyFill="1" applyBorder="1" applyAlignment="1">
      <alignment wrapText="1"/>
    </xf>
    <xf numFmtId="1" fontId="21" fillId="8" borderId="10" xfId="3" applyNumberFormat="1" applyFont="1" applyFill="1" applyBorder="1" applyAlignment="1">
      <alignment horizontal="right" wrapText="1"/>
    </xf>
    <xf numFmtId="1" fontId="19" fillId="5" borderId="11" xfId="0" applyNumberFormat="1" applyFont="1" applyFill="1" applyBorder="1" applyAlignment="1">
      <alignment wrapText="1"/>
    </xf>
    <xf numFmtId="42" fontId="20" fillId="5" borderId="11" xfId="3" applyFont="1" applyFill="1" applyBorder="1" applyAlignment="1">
      <alignment horizontal="right" wrapText="1"/>
    </xf>
    <xf numFmtId="1" fontId="20" fillId="5" borderId="11" xfId="3" applyNumberFormat="1" applyFont="1" applyFill="1" applyBorder="1" applyAlignment="1">
      <alignment horizontal="right" wrapText="1"/>
    </xf>
    <xf numFmtId="1" fontId="19" fillId="5" borderId="8" xfId="3" applyNumberFormat="1" applyFont="1" applyFill="1" applyBorder="1" applyAlignment="1">
      <alignment wrapText="1"/>
    </xf>
    <xf numFmtId="1" fontId="19" fillId="8" borderId="8" xfId="3" applyNumberFormat="1" applyFont="1" applyFill="1" applyBorder="1" applyAlignment="1">
      <alignment wrapText="1"/>
    </xf>
    <xf numFmtId="1" fontId="19" fillId="8" borderId="9" xfId="0" applyNumberFormat="1" applyFont="1" applyFill="1" applyBorder="1" applyAlignment="1">
      <alignment wrapText="1"/>
    </xf>
    <xf numFmtId="1" fontId="19" fillId="8" borderId="9" xfId="3" applyNumberFormat="1" applyFont="1" applyFill="1" applyBorder="1" applyAlignment="1">
      <alignment wrapText="1"/>
    </xf>
    <xf numFmtId="1" fontId="21" fillId="5" borderId="10" xfId="0" applyNumberFormat="1" applyFont="1" applyFill="1" applyBorder="1" applyAlignment="1">
      <alignment horizontal="right" wrapText="1"/>
    </xf>
    <xf numFmtId="1" fontId="21" fillId="5" borderId="10" xfId="3" applyNumberFormat="1" applyFont="1" applyFill="1" applyBorder="1" applyAlignment="1">
      <alignment horizontal="right" wrapText="1"/>
    </xf>
    <xf numFmtId="1" fontId="19" fillId="8" borderId="14" xfId="0" applyNumberFormat="1" applyFont="1" applyFill="1" applyBorder="1" applyAlignment="1">
      <alignment wrapText="1"/>
    </xf>
    <xf numFmtId="1" fontId="20" fillId="8" borderId="14" xfId="3" applyNumberFormat="1" applyFont="1" applyFill="1" applyBorder="1" applyAlignment="1">
      <alignment wrapText="1"/>
    </xf>
    <xf numFmtId="1" fontId="19" fillId="5" borderId="10" xfId="0" applyNumberFormat="1" applyFont="1" applyFill="1" applyBorder="1" applyAlignment="1">
      <alignment wrapText="1"/>
    </xf>
    <xf numFmtId="1" fontId="19" fillId="5" borderId="10" xfId="3" applyNumberFormat="1" applyFont="1" applyFill="1" applyBorder="1" applyAlignment="1">
      <alignment horizontal="right" wrapText="1"/>
    </xf>
    <xf numFmtId="1" fontId="19" fillId="8" borderId="11" xfId="0" applyNumberFormat="1" applyFont="1" applyFill="1" applyBorder="1" applyAlignment="1">
      <alignment wrapText="1"/>
    </xf>
    <xf numFmtId="42" fontId="19" fillId="8" borderId="11" xfId="3" applyFont="1" applyFill="1" applyBorder="1" applyAlignment="1">
      <alignment horizontal="right" wrapText="1"/>
    </xf>
    <xf numFmtId="1" fontId="19" fillId="8" borderId="11" xfId="3" applyNumberFormat="1" applyFont="1" applyFill="1" applyBorder="1" applyAlignment="1">
      <alignment horizontal="right" wrapText="1"/>
    </xf>
    <xf numFmtId="1" fontId="20" fillId="5" borderId="8" xfId="3" applyNumberFormat="1" applyFont="1" applyFill="1" applyBorder="1" applyAlignment="1">
      <alignment horizontal="right" wrapText="1"/>
    </xf>
    <xf numFmtId="1" fontId="20" fillId="5" borderId="8" xfId="0" applyNumberFormat="1" applyFont="1" applyFill="1" applyBorder="1" applyAlignment="1">
      <alignment horizontal="right" wrapText="1"/>
    </xf>
    <xf numFmtId="1" fontId="20" fillId="8" borderId="8" xfId="0" applyNumberFormat="1" applyFont="1" applyFill="1" applyBorder="1" applyAlignment="1">
      <alignment horizontal="right" wrapText="1"/>
    </xf>
    <xf numFmtId="1" fontId="20" fillId="5" borderId="8" xfId="3" quotePrefix="1" applyNumberFormat="1" applyFont="1" applyFill="1" applyBorder="1" applyAlignment="1">
      <alignment horizontal="right" wrapText="1"/>
    </xf>
    <xf numFmtId="1" fontId="19" fillId="8" borderId="9" xfId="3" applyNumberFormat="1" applyFont="1" applyFill="1" applyBorder="1" applyAlignment="1">
      <alignment horizontal="right" wrapText="1"/>
    </xf>
    <xf numFmtId="1" fontId="22" fillId="5" borderId="10" xfId="0" applyNumberFormat="1" applyFont="1" applyFill="1" applyBorder="1" applyAlignment="1">
      <alignment horizontal="right" wrapText="1"/>
    </xf>
    <xf numFmtId="1" fontId="22" fillId="5" borderId="10" xfId="3" applyNumberFormat="1" applyFont="1" applyFill="1" applyBorder="1" applyAlignment="1">
      <alignment horizontal="right" wrapText="1"/>
    </xf>
    <xf numFmtId="1" fontId="19" fillId="8" borderId="11" xfId="3" applyNumberFormat="1" applyFont="1" applyFill="1" applyBorder="1" applyAlignment="1">
      <alignment wrapText="1"/>
    </xf>
    <xf numFmtId="1" fontId="19" fillId="5" borderId="9" xfId="3" applyNumberFormat="1" applyFont="1" applyFill="1" applyBorder="1" applyAlignment="1">
      <alignment wrapText="1"/>
    </xf>
    <xf numFmtId="1" fontId="22" fillId="8" borderId="10" xfId="0" applyNumberFormat="1" applyFont="1" applyFill="1" applyBorder="1" applyAlignment="1">
      <alignment horizontal="right" wrapText="1"/>
    </xf>
    <xf numFmtId="1" fontId="22" fillId="8" borderId="10" xfId="3" applyNumberFormat="1" applyFont="1" applyFill="1" applyBorder="1" applyAlignment="1">
      <alignment horizontal="right" wrapText="1"/>
    </xf>
    <xf numFmtId="1" fontId="22" fillId="5" borderId="14" xfId="0" applyNumberFormat="1" applyFont="1" applyFill="1" applyBorder="1" applyAlignment="1">
      <alignment horizontal="right" wrapText="1"/>
    </xf>
    <xf numFmtId="1" fontId="19" fillId="5" borderId="14" xfId="3" applyNumberFormat="1" applyFont="1" applyFill="1" applyBorder="1" applyAlignment="1">
      <alignment horizontal="right" wrapText="1"/>
    </xf>
    <xf numFmtId="9" fontId="18" fillId="6" borderId="37" xfId="0" applyNumberFormat="1" applyFont="1" applyFill="1" applyBorder="1" applyAlignment="1">
      <alignment wrapText="1"/>
    </xf>
    <xf numFmtId="165" fontId="18" fillId="6" borderId="37" xfId="0" applyNumberFormat="1" applyFont="1" applyFill="1" applyBorder="1" applyAlignment="1">
      <alignment wrapText="1"/>
    </xf>
    <xf numFmtId="9" fontId="18" fillId="6" borderId="38" xfId="0" applyNumberFormat="1" applyFont="1" applyFill="1" applyBorder="1" applyAlignment="1">
      <alignment wrapText="1"/>
    </xf>
    <xf numFmtId="0" fontId="18" fillId="6" borderId="7" xfId="0" applyFont="1" applyFill="1" applyBorder="1" applyAlignment="1">
      <alignment horizontal="center" wrapText="1"/>
    </xf>
    <xf numFmtId="0" fontId="18" fillId="6" borderId="40" xfId="0" applyFont="1" applyFill="1" applyBorder="1" applyAlignment="1">
      <alignment horizontal="center" wrapText="1"/>
    </xf>
    <xf numFmtId="0" fontId="18" fillId="6" borderId="41" xfId="0" applyFont="1" applyFill="1" applyBorder="1" applyAlignment="1">
      <alignment wrapText="1"/>
    </xf>
    <xf numFmtId="1" fontId="23" fillId="5" borderId="8" xfId="0" applyNumberFormat="1" applyFont="1" applyFill="1" applyBorder="1" applyAlignment="1">
      <alignment wrapText="1"/>
    </xf>
    <xf numFmtId="1" fontId="23" fillId="5" borderId="8" xfId="3" applyNumberFormat="1" applyFont="1" applyFill="1" applyBorder="1" applyAlignment="1">
      <alignment horizontal="right" wrapText="1"/>
    </xf>
    <xf numFmtId="1" fontId="23" fillId="5" borderId="42" xfId="3" applyNumberFormat="1" applyFont="1" applyFill="1" applyBorder="1" applyAlignment="1">
      <alignment horizontal="right" wrapText="1"/>
    </xf>
    <xf numFmtId="1" fontId="23" fillId="8" borderId="8" xfId="0" applyNumberFormat="1" applyFont="1" applyFill="1" applyBorder="1" applyAlignment="1">
      <alignment wrapText="1"/>
    </xf>
    <xf numFmtId="1" fontId="24" fillId="8" borderId="8" xfId="3" applyNumberFormat="1" applyFont="1" applyFill="1" applyBorder="1" applyAlignment="1">
      <alignment horizontal="right" wrapText="1"/>
    </xf>
    <xf numFmtId="1" fontId="24" fillId="8" borderId="42" xfId="3" applyNumberFormat="1" applyFont="1" applyFill="1" applyBorder="1" applyAlignment="1">
      <alignment horizontal="right" wrapText="1"/>
    </xf>
    <xf numFmtId="0" fontId="18" fillId="6" borderId="43" xfId="0" applyFont="1" applyFill="1" applyBorder="1" applyAlignment="1">
      <alignment wrapText="1"/>
    </xf>
    <xf numFmtId="1" fontId="23" fillId="5" borderId="9" xfId="0" applyNumberFormat="1" applyFont="1" applyFill="1" applyBorder="1" applyAlignment="1">
      <alignment wrapText="1"/>
    </xf>
    <xf numFmtId="1" fontId="24" fillId="5" borderId="9" xfId="3" applyNumberFormat="1" applyFont="1" applyFill="1" applyBorder="1" applyAlignment="1">
      <alignment horizontal="right" wrapText="1"/>
    </xf>
    <xf numFmtId="1" fontId="24" fillId="5" borderId="44" xfId="3" applyNumberFormat="1" applyFont="1" applyFill="1" applyBorder="1" applyAlignment="1">
      <alignment horizontal="right" wrapText="1"/>
    </xf>
    <xf numFmtId="0" fontId="18" fillId="6" borderId="45" xfId="0" applyFont="1" applyFill="1" applyBorder="1" applyAlignment="1">
      <alignment wrapText="1"/>
    </xf>
    <xf numFmtId="1" fontId="23" fillId="8" borderId="10" xfId="0" applyNumberFormat="1" applyFont="1" applyFill="1" applyBorder="1" applyAlignment="1">
      <alignment wrapText="1"/>
    </xf>
    <xf numFmtId="1" fontId="25" fillId="8" borderId="10" xfId="3" applyNumberFormat="1" applyFont="1" applyFill="1" applyBorder="1" applyAlignment="1">
      <alignment horizontal="right" wrapText="1"/>
    </xf>
    <xf numFmtId="1" fontId="25" fillId="8" borderId="46" xfId="3" applyNumberFormat="1" applyFont="1" applyFill="1" applyBorder="1" applyAlignment="1">
      <alignment horizontal="right" wrapText="1"/>
    </xf>
    <xf numFmtId="0" fontId="18" fillId="6" borderId="47" xfId="0" applyFont="1" applyFill="1" applyBorder="1" applyAlignment="1">
      <alignment wrapText="1"/>
    </xf>
    <xf numFmtId="1" fontId="23" fillId="5" borderId="11" xfId="0" applyNumberFormat="1" applyFont="1" applyFill="1" applyBorder="1" applyAlignment="1">
      <alignment wrapText="1"/>
    </xf>
    <xf numFmtId="42" fontId="24" fillId="5" borderId="11" xfId="3" applyFont="1" applyFill="1" applyBorder="1" applyAlignment="1">
      <alignment horizontal="right" wrapText="1"/>
    </xf>
    <xf numFmtId="1" fontId="24" fillId="5" borderId="11" xfId="3" applyNumberFormat="1" applyFont="1" applyFill="1" applyBorder="1" applyAlignment="1">
      <alignment horizontal="right" wrapText="1"/>
    </xf>
    <xf numFmtId="1" fontId="24" fillId="5" borderId="48" xfId="3" applyNumberFormat="1" applyFont="1" applyFill="1" applyBorder="1" applyAlignment="1">
      <alignment horizontal="right" wrapText="1"/>
    </xf>
    <xf numFmtId="1" fontId="23" fillId="5" borderId="8" xfId="3" applyNumberFormat="1" applyFont="1" applyFill="1" applyBorder="1" applyAlignment="1">
      <alignment wrapText="1"/>
    </xf>
    <xf numFmtId="1" fontId="23" fillId="5" borderId="42" xfId="3" applyNumberFormat="1" applyFont="1" applyFill="1" applyBorder="1" applyAlignment="1">
      <alignment wrapText="1"/>
    </xf>
    <xf numFmtId="1" fontId="23" fillId="8" borderId="8" xfId="3" applyNumberFormat="1" applyFont="1" applyFill="1" applyBorder="1" applyAlignment="1">
      <alignment wrapText="1"/>
    </xf>
    <xf numFmtId="1" fontId="23" fillId="8" borderId="42" xfId="3" applyNumberFormat="1" applyFont="1" applyFill="1" applyBorder="1" applyAlignment="1">
      <alignment wrapText="1"/>
    </xf>
    <xf numFmtId="1" fontId="23" fillId="8" borderId="9" xfId="0" applyNumberFormat="1" applyFont="1" applyFill="1" applyBorder="1" applyAlignment="1">
      <alignment wrapText="1"/>
    </xf>
    <xf numFmtId="1" fontId="23" fillId="8" borderId="9" xfId="3" applyNumberFormat="1" applyFont="1" applyFill="1" applyBorder="1" applyAlignment="1">
      <alignment wrapText="1"/>
    </xf>
    <xf numFmtId="1" fontId="23" fillId="8" borderId="44" xfId="3" applyNumberFormat="1" applyFont="1" applyFill="1" applyBorder="1" applyAlignment="1">
      <alignment wrapText="1"/>
    </xf>
    <xf numFmtId="1" fontId="25" fillId="5" borderId="10" xfId="0" applyNumberFormat="1" applyFont="1" applyFill="1" applyBorder="1" applyAlignment="1">
      <alignment horizontal="right" wrapText="1"/>
    </xf>
    <xf numFmtId="1" fontId="25" fillId="5" borderId="10" xfId="3" applyNumberFormat="1" applyFont="1" applyFill="1" applyBorder="1" applyAlignment="1">
      <alignment horizontal="right" wrapText="1"/>
    </xf>
    <xf numFmtId="1" fontId="25" fillId="5" borderId="46" xfId="3" applyNumberFormat="1" applyFont="1" applyFill="1" applyBorder="1" applyAlignment="1">
      <alignment horizontal="right" wrapText="1"/>
    </xf>
    <xf numFmtId="0" fontId="18" fillId="6" borderId="49" xfId="0" applyFont="1" applyFill="1" applyBorder="1" applyAlignment="1">
      <alignment wrapText="1"/>
    </xf>
    <xf numFmtId="1" fontId="23" fillId="8" borderId="14" xfId="0" applyNumberFormat="1" applyFont="1" applyFill="1" applyBorder="1" applyAlignment="1">
      <alignment wrapText="1"/>
    </xf>
    <xf numFmtId="1" fontId="24" fillId="8" borderId="14" xfId="3" applyNumberFormat="1" applyFont="1" applyFill="1" applyBorder="1" applyAlignment="1">
      <alignment wrapText="1"/>
    </xf>
    <xf numFmtId="1" fontId="24" fillId="8" borderId="50" xfId="3" applyNumberFormat="1" applyFont="1" applyFill="1" applyBorder="1" applyAlignment="1">
      <alignment wrapText="1"/>
    </xf>
    <xf numFmtId="1" fontId="23" fillId="5" borderId="10" xfId="0" applyNumberFormat="1" applyFont="1" applyFill="1" applyBorder="1" applyAlignment="1">
      <alignment wrapText="1"/>
    </xf>
    <xf numFmtId="1" fontId="23" fillId="5" borderId="10" xfId="3" applyNumberFormat="1" applyFont="1" applyFill="1" applyBorder="1" applyAlignment="1">
      <alignment horizontal="right" wrapText="1"/>
    </xf>
    <xf numFmtId="1" fontId="23" fillId="5" borderId="46" xfId="3" applyNumberFormat="1" applyFont="1" applyFill="1" applyBorder="1" applyAlignment="1">
      <alignment horizontal="right" wrapText="1"/>
    </xf>
    <xf numFmtId="1" fontId="23" fillId="8" borderId="11" xfId="0" applyNumberFormat="1" applyFont="1" applyFill="1" applyBorder="1" applyAlignment="1">
      <alignment wrapText="1"/>
    </xf>
    <xf numFmtId="42" fontId="23" fillId="8" borderId="11" xfId="3" applyFont="1" applyFill="1" applyBorder="1" applyAlignment="1">
      <alignment horizontal="right" wrapText="1"/>
    </xf>
    <xf numFmtId="1" fontId="23" fillId="8" borderId="11" xfId="3" applyNumberFormat="1" applyFont="1" applyFill="1" applyBorder="1" applyAlignment="1">
      <alignment horizontal="right" wrapText="1"/>
    </xf>
    <xf numFmtId="1" fontId="23" fillId="8" borderId="48" xfId="3" applyNumberFormat="1" applyFont="1" applyFill="1" applyBorder="1" applyAlignment="1">
      <alignment horizontal="right" wrapText="1"/>
    </xf>
    <xf numFmtId="1" fontId="24" fillId="5" borderId="8" xfId="3" applyNumberFormat="1" applyFont="1" applyFill="1" applyBorder="1" applyAlignment="1">
      <alignment horizontal="right" wrapText="1"/>
    </xf>
    <xf numFmtId="1" fontId="24" fillId="5" borderId="42" xfId="3" applyNumberFormat="1" applyFont="1" applyFill="1" applyBorder="1" applyAlignment="1">
      <alignment horizontal="right" wrapText="1"/>
    </xf>
    <xf numFmtId="1" fontId="24" fillId="5" borderId="8" xfId="0" applyNumberFormat="1" applyFont="1" applyFill="1" applyBorder="1" applyAlignment="1">
      <alignment horizontal="right" wrapText="1"/>
    </xf>
    <xf numFmtId="1" fontId="24" fillId="8" borderId="8" xfId="0" applyNumberFormat="1" applyFont="1" applyFill="1" applyBorder="1" applyAlignment="1">
      <alignment horizontal="right" wrapText="1"/>
    </xf>
    <xf numFmtId="1" fontId="24" fillId="5" borderId="8" xfId="3" quotePrefix="1" applyNumberFormat="1" applyFont="1" applyFill="1" applyBorder="1" applyAlignment="1">
      <alignment horizontal="right" wrapText="1"/>
    </xf>
    <xf numFmtId="1" fontId="23" fillId="8" borderId="9" xfId="3" applyNumberFormat="1" applyFont="1" applyFill="1" applyBorder="1" applyAlignment="1">
      <alignment horizontal="right" wrapText="1"/>
    </xf>
    <xf numFmtId="1" fontId="26" fillId="5" borderId="10" xfId="0" applyNumberFormat="1" applyFont="1" applyFill="1" applyBorder="1" applyAlignment="1">
      <alignment horizontal="right" wrapText="1"/>
    </xf>
    <xf numFmtId="1" fontId="26" fillId="5" borderId="10" xfId="3" applyNumberFormat="1" applyFont="1" applyFill="1" applyBorder="1" applyAlignment="1">
      <alignment horizontal="right" wrapText="1"/>
    </xf>
    <xf numFmtId="1" fontId="26" fillId="5" borderId="46" xfId="3" applyNumberFormat="1" applyFont="1" applyFill="1" applyBorder="1" applyAlignment="1">
      <alignment horizontal="right" wrapText="1"/>
    </xf>
    <xf numFmtId="1" fontId="23" fillId="8" borderId="11" xfId="3" applyNumberFormat="1" applyFont="1" applyFill="1" applyBorder="1" applyAlignment="1">
      <alignment wrapText="1"/>
    </xf>
    <xf numFmtId="1" fontId="23" fillId="8" borderId="48" xfId="3" applyNumberFormat="1" applyFont="1" applyFill="1" applyBorder="1" applyAlignment="1">
      <alignment wrapText="1"/>
    </xf>
    <xf numFmtId="1" fontId="23" fillId="5" borderId="9" xfId="3" applyNumberFormat="1" applyFont="1" applyFill="1" applyBorder="1" applyAlignment="1">
      <alignment wrapText="1"/>
    </xf>
    <xf numFmtId="1" fontId="23" fillId="5" borderId="44" xfId="3" applyNumberFormat="1" applyFont="1" applyFill="1" applyBorder="1" applyAlignment="1">
      <alignment wrapText="1"/>
    </xf>
    <xf numFmtId="1" fontId="26" fillId="8" borderId="10" xfId="0" applyNumberFormat="1" applyFont="1" applyFill="1" applyBorder="1" applyAlignment="1">
      <alignment horizontal="right" wrapText="1"/>
    </xf>
    <xf numFmtId="1" fontId="26" fillId="8" borderId="10" xfId="3" applyNumberFormat="1" applyFont="1" applyFill="1" applyBorder="1" applyAlignment="1">
      <alignment horizontal="right" wrapText="1"/>
    </xf>
    <xf numFmtId="1" fontId="26" fillId="8" borderId="46" xfId="3" applyNumberFormat="1" applyFont="1" applyFill="1" applyBorder="1" applyAlignment="1">
      <alignment horizontal="right" wrapText="1"/>
    </xf>
    <xf numFmtId="1" fontId="26" fillId="5" borderId="14" xfId="0" applyNumberFormat="1" applyFont="1" applyFill="1" applyBorder="1" applyAlignment="1">
      <alignment horizontal="right" wrapText="1"/>
    </xf>
    <xf numFmtId="1" fontId="23" fillId="5" borderId="14" xfId="3" applyNumberFormat="1" applyFont="1" applyFill="1" applyBorder="1" applyAlignment="1">
      <alignment horizontal="right" wrapText="1"/>
    </xf>
    <xf numFmtId="1" fontId="23" fillId="5" borderId="50" xfId="3" applyNumberFormat="1" applyFont="1" applyFill="1" applyBorder="1" applyAlignment="1">
      <alignment horizontal="right" wrapText="1"/>
    </xf>
    <xf numFmtId="0" fontId="18" fillId="6" borderId="51" xfId="0" applyFont="1" applyFill="1" applyBorder="1" applyAlignment="1">
      <alignment wrapText="1"/>
    </xf>
    <xf numFmtId="1" fontId="26" fillId="8" borderId="52" xfId="0" applyNumberFormat="1" applyFont="1" applyFill="1" applyBorder="1" applyAlignment="1">
      <alignment horizontal="right" wrapText="1"/>
    </xf>
    <xf numFmtId="1" fontId="25" fillId="8" borderId="52" xfId="3" applyNumberFormat="1" applyFont="1" applyFill="1" applyBorder="1" applyAlignment="1">
      <alignment horizontal="right" wrapText="1"/>
    </xf>
    <xf numFmtId="1" fontId="25" fillId="8" borderId="53" xfId="3" applyNumberFormat="1" applyFont="1" applyFill="1" applyBorder="1" applyAlignment="1">
      <alignment horizontal="right" wrapText="1"/>
    </xf>
    <xf numFmtId="0" fontId="0" fillId="0" borderId="0" xfId="0" applyAlignment="1">
      <alignment horizontal="left"/>
    </xf>
    <xf numFmtId="0" fontId="0" fillId="0" borderId="12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3" xfId="0" applyBorder="1" applyAlignment="1">
      <alignment horizontal="left"/>
    </xf>
    <xf numFmtId="166" fontId="0" fillId="0" borderId="8" xfId="0" applyNumberFormat="1" applyBorder="1" applyAlignment="1">
      <alignment horizontal="left"/>
    </xf>
    <xf numFmtId="166" fontId="0" fillId="0" borderId="4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166" fontId="0" fillId="0" borderId="9" xfId="0" applyNumberFormat="1" applyBorder="1" applyAlignment="1">
      <alignment horizontal="left"/>
    </xf>
    <xf numFmtId="166" fontId="0" fillId="0" borderId="6" xfId="0" applyNumberFormat="1" applyBorder="1" applyAlignment="1">
      <alignment horizontal="left"/>
    </xf>
    <xf numFmtId="0" fontId="18" fillId="7" borderId="15" xfId="0" applyFont="1" applyFill="1" applyBorder="1" applyAlignment="1">
      <alignment wrapText="1"/>
    </xf>
    <xf numFmtId="10" fontId="16" fillId="11" borderId="16" xfId="0" applyNumberFormat="1" applyFont="1" applyFill="1" applyBorder="1" applyAlignment="1">
      <alignment horizontal="right" wrapText="1"/>
    </xf>
    <xf numFmtId="0" fontId="18" fillId="7" borderId="17" xfId="0" applyFont="1" applyFill="1" applyBorder="1" applyAlignment="1">
      <alignment wrapText="1"/>
    </xf>
    <xf numFmtId="3" fontId="16" fillId="11" borderId="18" xfId="0" applyNumberFormat="1" applyFont="1" applyFill="1" applyBorder="1" applyAlignment="1">
      <alignment horizontal="right" wrapText="1"/>
    </xf>
    <xf numFmtId="10" fontId="16" fillId="11" borderId="18" xfId="0" applyNumberFormat="1" applyFont="1" applyFill="1" applyBorder="1" applyAlignment="1">
      <alignment horizontal="right" wrapText="1"/>
    </xf>
    <xf numFmtId="0" fontId="16" fillId="11" borderId="18" xfId="0" applyFont="1" applyFill="1" applyBorder="1" applyAlignment="1">
      <alignment horizontal="right" wrapText="1"/>
    </xf>
    <xf numFmtId="166" fontId="16" fillId="11" borderId="18" xfId="3" applyNumberFormat="1" applyFont="1" applyFill="1" applyBorder="1" applyAlignment="1">
      <alignment horizontal="right" wrapText="1"/>
    </xf>
    <xf numFmtId="0" fontId="18" fillId="7" borderId="19" xfId="0" applyFont="1" applyFill="1" applyBorder="1" applyAlignment="1">
      <alignment wrapText="1"/>
    </xf>
    <xf numFmtId="0" fontId="18" fillId="6" borderId="19" xfId="0" applyFont="1" applyFill="1" applyBorder="1" applyAlignment="1">
      <alignment wrapText="1"/>
    </xf>
    <xf numFmtId="0" fontId="18" fillId="6" borderId="17" xfId="0" applyFont="1" applyFill="1" applyBorder="1" applyAlignment="1">
      <alignment wrapText="1"/>
    </xf>
    <xf numFmtId="10" fontId="27" fillId="11" borderId="18" xfId="0" applyNumberFormat="1" applyFont="1" applyFill="1" applyBorder="1" applyAlignment="1">
      <alignment horizontal="right" wrapText="1"/>
    </xf>
    <xf numFmtId="3" fontId="28" fillId="11" borderId="18" xfId="0" applyNumberFormat="1" applyFont="1" applyFill="1" applyBorder="1" applyAlignment="1">
      <alignment horizontal="right" wrapText="1"/>
    </xf>
    <xf numFmtId="9" fontId="28" fillId="11" borderId="18" xfId="0" applyNumberFormat="1" applyFont="1" applyFill="1" applyBorder="1" applyAlignment="1">
      <alignment horizontal="right" wrapText="1"/>
    </xf>
    <xf numFmtId="0" fontId="28" fillId="11" borderId="18" xfId="0" applyFont="1" applyFill="1" applyBorder="1" applyAlignment="1">
      <alignment wrapText="1"/>
    </xf>
    <xf numFmtId="0" fontId="0" fillId="0" borderId="33" xfId="0" applyBorder="1"/>
    <xf numFmtId="9" fontId="0" fillId="0" borderId="0" xfId="0" applyNumberFormat="1" applyAlignment="1">
      <alignment horizontal="center"/>
    </xf>
    <xf numFmtId="0" fontId="18" fillId="6" borderId="8" xfId="0" applyFont="1" applyFill="1" applyBorder="1" applyAlignment="1">
      <alignment wrapText="1"/>
    </xf>
    <xf numFmtId="0" fontId="0" fillId="0" borderId="0" xfId="0" applyAlignment="1">
      <alignment horizontal="right"/>
    </xf>
    <xf numFmtId="10" fontId="0" fillId="0" borderId="0" xfId="2" applyNumberFormat="1" applyFont="1" applyAlignment="1">
      <alignment horizontal="center"/>
    </xf>
    <xf numFmtId="0" fontId="0" fillId="13" borderId="0" xfId="0" applyFill="1" applyAlignment="1">
      <alignment horizontal="center"/>
    </xf>
    <xf numFmtId="0" fontId="0" fillId="13" borderId="54" xfId="0" applyFill="1" applyBorder="1"/>
    <xf numFmtId="0" fontId="0" fillId="13" borderId="54" xfId="0" applyFill="1" applyBorder="1" applyAlignment="1">
      <alignment horizontal="center"/>
    </xf>
    <xf numFmtId="9" fontId="0" fillId="0" borderId="54" xfId="2" applyFont="1" applyBorder="1" applyAlignment="1">
      <alignment horizontal="center"/>
    </xf>
    <xf numFmtId="10" fontId="0" fillId="0" borderId="54" xfId="2" applyNumberFormat="1" applyFont="1" applyBorder="1" applyAlignment="1">
      <alignment horizontal="center"/>
    </xf>
    <xf numFmtId="1" fontId="0" fillId="0" borderId="54" xfId="3" applyNumberFormat="1" applyFont="1" applyBorder="1" applyAlignment="1">
      <alignment horizontal="center"/>
    </xf>
    <xf numFmtId="0" fontId="2" fillId="13" borderId="8" xfId="0" applyFont="1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9" fontId="0" fillId="8" borderId="58" xfId="2" applyFont="1" applyFill="1" applyBorder="1" applyAlignment="1">
      <alignment horizontal="center"/>
    </xf>
    <xf numFmtId="1" fontId="0" fillId="8" borderId="59" xfId="3" applyNumberFormat="1" applyFont="1" applyFill="1" applyBorder="1" applyAlignment="1">
      <alignment horizontal="center"/>
    </xf>
    <xf numFmtId="10" fontId="0" fillId="8" borderId="60" xfId="2" applyNumberFormat="1" applyFont="1" applyFill="1" applyBorder="1" applyAlignment="1">
      <alignment horizontal="center"/>
    </xf>
    <xf numFmtId="0" fontId="0" fillId="8" borderId="8" xfId="0" applyFill="1" applyBorder="1"/>
    <xf numFmtId="2" fontId="0" fillId="8" borderId="8" xfId="0" applyNumberFormat="1" applyFill="1" applyBorder="1"/>
    <xf numFmtId="9" fontId="0" fillId="8" borderId="8" xfId="2" applyFont="1" applyFill="1" applyBorder="1"/>
    <xf numFmtId="0" fontId="2" fillId="13" borderId="8" xfId="0" applyFont="1" applyFill="1" applyBorder="1"/>
    <xf numFmtId="0" fontId="2" fillId="0" borderId="0" xfId="0" applyFont="1"/>
    <xf numFmtId="9" fontId="0" fillId="8" borderId="8" xfId="0" applyNumberFormat="1" applyFill="1" applyBorder="1"/>
    <xf numFmtId="0" fontId="9" fillId="11" borderId="61" xfId="0" applyFont="1" applyFill="1" applyBorder="1" applyAlignment="1">
      <alignment horizontal="right" wrapText="1"/>
    </xf>
    <xf numFmtId="10" fontId="16" fillId="11" borderId="8" xfId="0" applyNumberFormat="1" applyFont="1" applyFill="1" applyBorder="1" applyAlignment="1">
      <alignment horizontal="right" wrapText="1"/>
    </xf>
    <xf numFmtId="10" fontId="29" fillId="11" borderId="8" xfId="0" applyNumberFormat="1" applyFont="1" applyFill="1" applyBorder="1" applyAlignment="1">
      <alignment horizontal="right" wrapText="1"/>
    </xf>
    <xf numFmtId="0" fontId="16" fillId="11" borderId="8" xfId="0" applyFont="1" applyFill="1" applyBorder="1" applyAlignment="1">
      <alignment horizontal="right" wrapText="1"/>
    </xf>
    <xf numFmtId="0" fontId="18" fillId="18" borderId="8" xfId="0" applyFont="1" applyFill="1" applyBorder="1" applyAlignment="1">
      <alignment wrapText="1"/>
    </xf>
    <xf numFmtId="0" fontId="2" fillId="18" borderId="8" xfId="0" applyFont="1" applyFill="1" applyBorder="1" applyAlignment="1">
      <alignment horizontal="right"/>
    </xf>
    <xf numFmtId="10" fontId="0" fillId="0" borderId="0" xfId="0" applyNumberFormat="1" applyAlignment="1">
      <alignment horizontal="center"/>
    </xf>
    <xf numFmtId="10" fontId="8" fillId="11" borderId="62" xfId="0" applyNumberFormat="1" applyFont="1" applyFill="1" applyBorder="1" applyAlignment="1">
      <alignment horizontal="right" wrapText="1"/>
    </xf>
    <xf numFmtId="9" fontId="0" fillId="0" borderId="0" xfId="2" applyFont="1" applyBorder="1"/>
    <xf numFmtId="42" fontId="0" fillId="0" borderId="0" xfId="3" applyFont="1" applyBorder="1"/>
    <xf numFmtId="10" fontId="0" fillId="0" borderId="0" xfId="2" applyNumberFormat="1" applyFont="1" applyBorder="1"/>
    <xf numFmtId="0" fontId="18" fillId="6" borderId="34" xfId="0" applyFont="1" applyFill="1" applyBorder="1" applyAlignment="1">
      <alignment wrapText="1"/>
    </xf>
    <xf numFmtId="10" fontId="16" fillId="11" borderId="62" xfId="0" applyNumberFormat="1" applyFont="1" applyFill="1" applyBorder="1" applyAlignment="1">
      <alignment horizontal="right" wrapText="1"/>
    </xf>
    <xf numFmtId="42" fontId="0" fillId="0" borderId="0" xfId="3" applyFont="1" applyFill="1" applyBorder="1"/>
    <xf numFmtId="1" fontId="24" fillId="5" borderId="8" xfId="3" applyNumberFormat="1" applyFont="1" applyFill="1" applyBorder="1" applyAlignment="1">
      <alignment wrapText="1"/>
    </xf>
    <xf numFmtId="1" fontId="24" fillId="8" borderId="8" xfId="3" applyNumberFormat="1" applyFont="1" applyFill="1" applyBorder="1" applyAlignment="1">
      <alignment wrapText="1"/>
    </xf>
    <xf numFmtId="1" fontId="20" fillId="5" borderId="8" xfId="3" applyNumberFormat="1" applyFont="1" applyFill="1" applyBorder="1" applyAlignment="1">
      <alignment wrapText="1"/>
    </xf>
    <xf numFmtId="1" fontId="20" fillId="8" borderId="8" xfId="3" applyNumberFormat="1" applyFont="1" applyFill="1" applyBorder="1" applyAlignment="1">
      <alignment wrapText="1"/>
    </xf>
    <xf numFmtId="0" fontId="18" fillId="6" borderId="63" xfId="0" applyFont="1" applyFill="1" applyBorder="1" applyAlignment="1">
      <alignment wrapText="1"/>
    </xf>
    <xf numFmtId="9" fontId="18" fillId="6" borderId="64" xfId="0" applyNumberFormat="1" applyFont="1" applyFill="1" applyBorder="1" applyAlignment="1">
      <alignment horizontal="center" wrapText="1"/>
    </xf>
    <xf numFmtId="165" fontId="18" fillId="6" borderId="64" xfId="0" applyNumberFormat="1" applyFont="1" applyFill="1" applyBorder="1" applyAlignment="1">
      <alignment horizontal="center" wrapText="1"/>
    </xf>
    <xf numFmtId="9" fontId="18" fillId="6" borderId="65" xfId="0" applyNumberFormat="1" applyFont="1" applyFill="1" applyBorder="1" applyAlignment="1">
      <alignment horizontal="center" wrapText="1"/>
    </xf>
    <xf numFmtId="0" fontId="18" fillId="6" borderId="66" xfId="0" applyFont="1" applyFill="1" applyBorder="1" applyAlignment="1">
      <alignment wrapText="1"/>
    </xf>
    <xf numFmtId="0" fontId="5" fillId="6" borderId="67" xfId="0" applyFont="1" applyFill="1" applyBorder="1" applyAlignment="1">
      <alignment horizontal="center" wrapText="1"/>
    </xf>
    <xf numFmtId="0" fontId="7" fillId="6" borderId="68" xfId="0" applyFont="1" applyFill="1" applyBorder="1" applyAlignment="1">
      <alignment wrapText="1"/>
    </xf>
    <xf numFmtId="1" fontId="19" fillId="5" borderId="69" xfId="3" applyNumberFormat="1" applyFont="1" applyFill="1" applyBorder="1" applyAlignment="1">
      <alignment horizontal="right" wrapText="1"/>
    </xf>
    <xf numFmtId="1" fontId="20" fillId="8" borderId="69" xfId="3" applyNumberFormat="1" applyFont="1" applyFill="1" applyBorder="1" applyAlignment="1">
      <alignment horizontal="right" wrapText="1"/>
    </xf>
    <xf numFmtId="0" fontId="7" fillId="6" borderId="70" xfId="0" applyFont="1" applyFill="1" applyBorder="1" applyAlignment="1">
      <alignment wrapText="1"/>
    </xf>
    <xf numFmtId="1" fontId="20" fillId="5" borderId="71" xfId="3" applyNumberFormat="1" applyFont="1" applyFill="1" applyBorder="1" applyAlignment="1">
      <alignment horizontal="right" wrapText="1"/>
    </xf>
    <xf numFmtId="0" fontId="7" fillId="6" borderId="72" xfId="0" applyFont="1" applyFill="1" applyBorder="1" applyAlignment="1">
      <alignment wrapText="1"/>
    </xf>
    <xf numFmtId="1" fontId="21" fillId="8" borderId="73" xfId="3" applyNumberFormat="1" applyFont="1" applyFill="1" applyBorder="1" applyAlignment="1">
      <alignment horizontal="right" wrapText="1"/>
    </xf>
    <xf numFmtId="0" fontId="7" fillId="6" borderId="74" xfId="0" applyFont="1" applyFill="1" applyBorder="1" applyAlignment="1">
      <alignment wrapText="1"/>
    </xf>
    <xf numFmtId="1" fontId="20" fillId="5" borderId="75" xfId="3" applyNumberFormat="1" applyFont="1" applyFill="1" applyBorder="1" applyAlignment="1">
      <alignment horizontal="right" wrapText="1"/>
    </xf>
    <xf numFmtId="1" fontId="19" fillId="5" borderId="69" xfId="3" applyNumberFormat="1" applyFont="1" applyFill="1" applyBorder="1" applyAlignment="1">
      <alignment wrapText="1"/>
    </xf>
    <xf numFmtId="1" fontId="19" fillId="8" borderId="69" xfId="3" applyNumberFormat="1" applyFont="1" applyFill="1" applyBorder="1" applyAlignment="1">
      <alignment wrapText="1"/>
    </xf>
    <xf numFmtId="1" fontId="19" fillId="8" borderId="71" xfId="3" applyNumberFormat="1" applyFont="1" applyFill="1" applyBorder="1" applyAlignment="1">
      <alignment wrapText="1"/>
    </xf>
    <xf numFmtId="1" fontId="21" fillId="5" borderId="73" xfId="3" applyNumberFormat="1" applyFont="1" applyFill="1" applyBorder="1" applyAlignment="1">
      <alignment horizontal="right" wrapText="1"/>
    </xf>
    <xf numFmtId="0" fontId="7" fillId="6" borderId="76" xfId="0" applyFont="1" applyFill="1" applyBorder="1" applyAlignment="1">
      <alignment wrapText="1"/>
    </xf>
    <xf numFmtId="1" fontId="20" fillId="8" borderId="77" xfId="3" applyNumberFormat="1" applyFont="1" applyFill="1" applyBorder="1" applyAlignment="1">
      <alignment wrapText="1"/>
    </xf>
    <xf numFmtId="1" fontId="19" fillId="5" borderId="73" xfId="3" applyNumberFormat="1" applyFont="1" applyFill="1" applyBorder="1" applyAlignment="1">
      <alignment horizontal="right" wrapText="1"/>
    </xf>
    <xf numFmtId="1" fontId="19" fillId="8" borderId="75" xfId="3" applyNumberFormat="1" applyFont="1" applyFill="1" applyBorder="1" applyAlignment="1">
      <alignment horizontal="right" wrapText="1"/>
    </xf>
    <xf numFmtId="1" fontId="20" fillId="5" borderId="69" xfId="3" applyNumberFormat="1" applyFont="1" applyFill="1" applyBorder="1" applyAlignment="1">
      <alignment horizontal="right" wrapText="1"/>
    </xf>
    <xf numFmtId="1" fontId="22" fillId="5" borderId="73" xfId="3" applyNumberFormat="1" applyFont="1" applyFill="1" applyBorder="1" applyAlignment="1">
      <alignment horizontal="right" wrapText="1"/>
    </xf>
    <xf numFmtId="1" fontId="19" fillId="8" borderId="75" xfId="3" applyNumberFormat="1" applyFont="1" applyFill="1" applyBorder="1" applyAlignment="1">
      <alignment wrapText="1"/>
    </xf>
    <xf numFmtId="1" fontId="19" fillId="5" borderId="71" xfId="3" applyNumberFormat="1" applyFont="1" applyFill="1" applyBorder="1" applyAlignment="1">
      <alignment wrapText="1"/>
    </xf>
    <xf numFmtId="1" fontId="22" fillId="8" borderId="73" xfId="3" applyNumberFormat="1" applyFont="1" applyFill="1" applyBorder="1" applyAlignment="1">
      <alignment horizontal="right" wrapText="1"/>
    </xf>
    <xf numFmtId="1" fontId="19" fillId="5" borderId="77" xfId="3" applyNumberFormat="1" applyFont="1" applyFill="1" applyBorder="1" applyAlignment="1">
      <alignment horizontal="right" wrapText="1"/>
    </xf>
    <xf numFmtId="0" fontId="7" fillId="6" borderId="78" xfId="0" applyFont="1" applyFill="1" applyBorder="1" applyAlignment="1">
      <alignment wrapText="1"/>
    </xf>
    <xf numFmtId="1" fontId="22" fillId="8" borderId="79" xfId="0" applyNumberFormat="1" applyFont="1" applyFill="1" applyBorder="1" applyAlignment="1">
      <alignment horizontal="right" wrapText="1"/>
    </xf>
    <xf numFmtId="1" fontId="21" fillId="8" borderId="79" xfId="3" applyNumberFormat="1" applyFont="1" applyFill="1" applyBorder="1" applyAlignment="1">
      <alignment horizontal="right" wrapText="1"/>
    </xf>
    <xf numFmtId="1" fontId="21" fillId="8" borderId="80" xfId="3" applyNumberFormat="1" applyFont="1" applyFill="1" applyBorder="1" applyAlignment="1">
      <alignment horizontal="right" wrapText="1"/>
    </xf>
    <xf numFmtId="9" fontId="0" fillId="8" borderId="4" xfId="2" applyFont="1" applyFill="1" applyBorder="1" applyAlignment="1">
      <alignment horizontal="center"/>
    </xf>
    <xf numFmtId="0" fontId="2" fillId="13" borderId="9" xfId="0" applyFont="1" applyFill="1" applyBorder="1" applyAlignment="1">
      <alignment horizontal="center"/>
    </xf>
    <xf numFmtId="1" fontId="0" fillId="14" borderId="14" xfId="0" applyNumberFormat="1" applyFill="1" applyBorder="1" applyAlignment="1">
      <alignment horizontal="center"/>
    </xf>
    <xf numFmtId="0" fontId="0" fillId="14" borderId="14" xfId="0" applyFill="1" applyBorder="1" applyAlignment="1">
      <alignment horizontal="center"/>
    </xf>
    <xf numFmtId="42" fontId="0" fillId="8" borderId="8" xfId="3" applyFont="1" applyFill="1" applyBorder="1"/>
    <xf numFmtId="10" fontId="0" fillId="8" borderId="8" xfId="2" applyNumberFormat="1" applyFont="1" applyFill="1" applyBorder="1"/>
  </cellXfs>
  <cellStyles count="4">
    <cellStyle name="Moneda [0]" xfId="1" builtinId="7"/>
    <cellStyle name="Moneda [0] 2" xfId="3"/>
    <cellStyle name="Normal" xfId="0" builtinId="0"/>
    <cellStyle name="Porcentaje" xfId="2" builtinId="5"/>
  </cellStyles>
  <dxfs count="195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</dxf>
    <dxf>
      <numFmt numFmtId="1" formatCode="0"/>
    </dxf>
    <dxf>
      <font>
        <b/>
      </font>
    </dxf>
    <dxf>
      <numFmt numFmtId="166" formatCode="0.0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numFmt numFmtId="166" formatCode="0.0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numFmt numFmtId="166" formatCode="0.0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numFmt numFmtId="166" formatCode="0.0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numFmt numFmtId="166" formatCode="0.0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numFmt numFmtId="166" formatCode="0.0"/>
      <fill>
        <patternFill patternType="solid">
          <fgColor indexed="64"/>
          <bgColor theme="8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indexed="64"/>
          <bgColor theme="8" tint="0.79998168889431442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top style="thin">
          <color theme="0"/>
        </top>
      </border>
    </dxf>
    <dxf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indexed="64"/>
          <bgColor theme="8" tint="0.79998168889431442"/>
        </patternFill>
      </fill>
    </dxf>
    <dxf>
      <border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  <dxf>
      <numFmt numFmtId="166" formatCode="0.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numFmt numFmtId="166" formatCode="0.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numFmt numFmtId="166" formatCode="0.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numFmt numFmtId="166" formatCode="0.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numFmt numFmtId="166" formatCode="0.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numFmt numFmtId="166" formatCode="0.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</dxf>
    <dxf>
      <border outline="0">
        <bottom style="thin">
          <color theme="0"/>
        </bottom>
      </border>
    </dxf>
    <dxf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alignment horizontal="center" vertical="bottom" textRotation="0" wrapText="0" indent="0" justifyLastLine="0" shrinkToFit="0" readingOrder="0"/>
    </dxf>
    <dxf>
      <numFmt numFmtId="13" formatCode="0%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0"/>
        </patternFill>
      </fill>
    </dxf>
    <dxf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0"/>
        </patternFill>
      </fill>
    </dxf>
    <dxf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0"/>
        </patternFill>
      </fill>
    </dxf>
    <dxf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0"/>
        </patternFill>
      </fill>
    </dxf>
    <dxf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0"/>
        </patternFill>
      </fill>
    </dxf>
    <dxf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0"/>
        </patternFill>
      </fill>
    </dxf>
    <dxf>
      <alignment horizontal="center" vertical="bottom" textRotation="0" wrapText="0" indent="0" justifyLastLine="0" shrinkToFit="0" readingOrder="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/>
        </left>
        <right/>
        <top/>
        <bottom style="thin">
          <color theme="0"/>
        </bottom>
      </border>
    </dxf>
    <dxf>
      <numFmt numFmtId="167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</dxf>
    <dxf>
      <alignment horizontal="center" vertical="bottom" textRotation="0" wrapText="0" indent="0" justifyLastLine="0" shrinkToFit="0" readingOrder="0"/>
    </dxf>
    <dxf>
      <numFmt numFmtId="166" formatCode="0.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8"/>
          <bgColor theme="8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0"/>
        </patternFill>
      </fill>
    </dxf>
    <dxf>
      <numFmt numFmtId="2" formatCode="0.00"/>
      <fill>
        <patternFill patternType="solid">
          <fgColor indexed="64"/>
          <bgColor theme="0"/>
        </patternFill>
      </fill>
    </dxf>
    <dxf>
      <numFmt numFmtId="2" formatCode="0.00"/>
      <fill>
        <patternFill patternType="solid">
          <fgColor indexed="64"/>
          <bgColor theme="0"/>
        </patternFill>
      </fill>
    </dxf>
    <dxf>
      <numFmt numFmtId="2" formatCode="0.00"/>
      <fill>
        <patternFill patternType="solid">
          <fgColor indexed="64"/>
          <bgColor theme="0"/>
        </patternFill>
      </fill>
    </dxf>
    <dxf>
      <numFmt numFmtId="2" formatCode="0.00"/>
      <fill>
        <patternFill patternType="solid">
          <fgColor indexed="64"/>
          <bgColor theme="0"/>
        </patternFill>
      </fill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horizontal="general" vertical="bottom" textRotation="9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32" formatCode="_ &quot;$&quot;* #,##0_ ;_ &quot;$&quot;* \-#,##0_ ;_ &quot;$&quot;* &quot;-&quot;_ ;_ @_ "/>
    </dxf>
    <dxf>
      <alignment horizontal="general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  <dxf>
      <numFmt numFmtId="2" formatCode="0.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32" formatCode="_ &quot;$&quot;* #,##0_ ;_ &quot;$&quot;* \-#,##0_ ;_ &quot;$&quot;* &quot;-&quot;_ ;_ @_ 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8"/>
          <bgColor theme="8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" formatCode="0"/>
    </dxf>
  </dxfs>
  <tableStyles count="0" defaultTableStyle="TableStyleMedium2" defaultPivotStyle="PivotStyleLight16"/>
  <colors>
    <mruColors>
      <color rgb="FF6D95F9"/>
      <color rgb="FF6A9E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'Demanda graf'!$C$5</c:f>
              <c:strCache>
                <c:ptCount val="1"/>
                <c:pt idx="0">
                  <c:v>POBLACIÓN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8232277609209954E-2"/>
                  <c:y val="0.3842691731573027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 baseline="0"/>
                      <a:t>y = 31527x - 6E+07</a:t>
                    </a:r>
                    <a:br>
                      <a:rPr lang="en-US" sz="1200" baseline="0"/>
                    </a:br>
                    <a:r>
                      <a:rPr lang="en-US" sz="1200" baseline="0"/>
                      <a:t>R² = 0,9505</a:t>
                    </a:r>
                    <a:endParaRPr lang="en-US" sz="12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'Demanda graf'!$B$6:$B$16</c:f>
              <c:numCache>
                <c:formatCode>General</c:formatCode>
                <c:ptCount val="11"/>
                <c:pt idx="0">
                  <c:v>2011</c:v>
                </c:pt>
                <c:pt idx="1">
                  <c:v>2015</c:v>
                </c:pt>
                <c:pt idx="2">
                  <c:v>2017</c:v>
                </c:pt>
                <c:pt idx="3">
                  <c:v>2020</c:v>
                </c:pt>
                <c:pt idx="4">
                  <c:v>2021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</c:numCache>
            </c:numRef>
          </c:xVal>
          <c:yVal>
            <c:numRef>
              <c:f>'Demanda graf'!$C$6:$C$16</c:f>
              <c:numCache>
                <c:formatCode>0</c:formatCode>
                <c:ptCount val="11"/>
                <c:pt idx="0">
                  <c:v>159919</c:v>
                </c:pt>
                <c:pt idx="1">
                  <c:v>358332</c:v>
                </c:pt>
                <c:pt idx="2">
                  <c:v>404495</c:v>
                </c:pt>
                <c:pt idx="3">
                  <c:v>503147</c:v>
                </c:pt>
                <c:pt idx="4">
                  <c:v>517280</c:v>
                </c:pt>
                <c:pt idx="5">
                  <c:v>536089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C1-4788-ABC0-0DD68BCCB5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9726079"/>
        <c:axId val="409466479"/>
      </c:scatterChart>
      <c:valAx>
        <c:axId val="4097260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09466479"/>
        <c:crosses val="autoZero"/>
        <c:crossBetween val="midCat"/>
      </c:valAx>
      <c:valAx>
        <c:axId val="409466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097260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VARIACIÓN</a:t>
            </a:r>
            <a:r>
              <a:rPr lang="es-CL" baseline="0"/>
              <a:t> DE PRECIO</a:t>
            </a:r>
            <a:endParaRPr lang="es-C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SENSIBILIZACION!$C$5</c:f>
              <c:strCache>
                <c:ptCount val="1"/>
                <c:pt idx="0">
                  <c:v>VAN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503915135608049E-2"/>
                  <c:y val="0.2138735783027121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SENSIBILIZACION!$B$6:$B$12</c:f>
              <c:numCache>
                <c:formatCode>0%</c:formatCode>
                <c:ptCount val="7"/>
                <c:pt idx="0">
                  <c:v>0.15</c:v>
                </c:pt>
                <c:pt idx="1">
                  <c:v>0.1</c:v>
                </c:pt>
                <c:pt idx="2">
                  <c:v>0.05</c:v>
                </c:pt>
                <c:pt idx="3">
                  <c:v>0</c:v>
                </c:pt>
                <c:pt idx="4">
                  <c:v>-0.05</c:v>
                </c:pt>
                <c:pt idx="5">
                  <c:v>-0.1</c:v>
                </c:pt>
                <c:pt idx="6">
                  <c:v>-0.15</c:v>
                </c:pt>
              </c:numCache>
            </c:numRef>
          </c:xVal>
          <c:yVal>
            <c:numRef>
              <c:f>SENSIBILIZACION!$C$6:$C$12</c:f>
              <c:numCache>
                <c:formatCode>_("$"* #,##0_);_("$"* \(#,##0\);_("$"* "-"_);_(@_)</c:formatCode>
                <c:ptCount val="7"/>
                <c:pt idx="0">
                  <c:v>13717.043679107361</c:v>
                </c:pt>
                <c:pt idx="1">
                  <c:v>12855.002632569061</c:v>
                </c:pt>
                <c:pt idx="2">
                  <c:v>11992.961586030753</c:v>
                </c:pt>
                <c:pt idx="3">
                  <c:v>11130.92053949245</c:v>
                </c:pt>
                <c:pt idx="4">
                  <c:v>10267.811621172979</c:v>
                </c:pt>
                <c:pt idx="5">
                  <c:v>9401.9457205775761</c:v>
                </c:pt>
                <c:pt idx="6">
                  <c:v>8535.3619191528032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C8-4F01-A0A0-AC45E271F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2346303"/>
        <c:axId val="1229719343"/>
      </c:scatterChart>
      <c:valAx>
        <c:axId val="852346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29719343"/>
        <c:crosses val="autoZero"/>
        <c:crossBetween val="midCat"/>
      </c:valAx>
      <c:valAx>
        <c:axId val="1229719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85234630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VARIACIÓN COSTOS</a:t>
            </a:r>
            <a:r>
              <a:rPr lang="es-CL" baseline="0"/>
              <a:t> FIJOS</a:t>
            </a:r>
            <a:endParaRPr lang="es-C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SENSIBILIZACION!$I$5</c:f>
              <c:strCache>
                <c:ptCount val="1"/>
                <c:pt idx="0">
                  <c:v>VAN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2183070866141729E-2"/>
                  <c:y val="-0.3649617235345581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SENSIBILIZACION!$H$6:$H$12</c:f>
              <c:numCache>
                <c:formatCode>0%</c:formatCode>
                <c:ptCount val="7"/>
                <c:pt idx="0">
                  <c:v>0.15</c:v>
                </c:pt>
                <c:pt idx="1">
                  <c:v>0.1</c:v>
                </c:pt>
                <c:pt idx="2">
                  <c:v>0.05</c:v>
                </c:pt>
                <c:pt idx="3">
                  <c:v>0</c:v>
                </c:pt>
                <c:pt idx="4">
                  <c:v>-0.05</c:v>
                </c:pt>
                <c:pt idx="5">
                  <c:v>-0.1</c:v>
                </c:pt>
                <c:pt idx="6">
                  <c:v>-0.15</c:v>
                </c:pt>
              </c:numCache>
            </c:numRef>
          </c:xVal>
          <c:yVal>
            <c:numRef>
              <c:f>SENSIBILIZACION!$I$6:$I$12</c:f>
              <c:numCache>
                <c:formatCode>_("$"* #,##0_);_("$"* \(#,##0\);_("$"* "-"_);_(@_)</c:formatCode>
                <c:ptCount val="7"/>
                <c:pt idx="0">
                  <c:v>10764.755583038304</c:v>
                </c:pt>
                <c:pt idx="1">
                  <c:v>10886.81056852302</c:v>
                </c:pt>
                <c:pt idx="2">
                  <c:v>11008.865554007732</c:v>
                </c:pt>
                <c:pt idx="3">
                  <c:v>11130.92053949245</c:v>
                </c:pt>
                <c:pt idx="4">
                  <c:v>11252.975524977164</c:v>
                </c:pt>
                <c:pt idx="5">
                  <c:v>11375.03051046188</c:v>
                </c:pt>
                <c:pt idx="6">
                  <c:v>11497.085495946596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E3-47AF-A30E-5C28A7127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4741823"/>
        <c:axId val="466560175"/>
      </c:scatterChart>
      <c:valAx>
        <c:axId val="6747418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466560175"/>
        <c:crosses val="autoZero"/>
        <c:crossBetween val="midCat"/>
      </c:valAx>
      <c:valAx>
        <c:axId val="466560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747418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VARIACIÓN</a:t>
            </a:r>
            <a:r>
              <a:rPr lang="en-US" baseline="0"/>
              <a:t> REMUNERACIONES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SENSIBILIZACION!$O$5</c:f>
              <c:strCache>
                <c:ptCount val="1"/>
                <c:pt idx="0">
                  <c:v>VAN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4483595800524937E-2"/>
                  <c:y val="-0.3518937736949547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050" baseline="0"/>
                      <a:t>y = -1528,1x + 11542</a:t>
                    </a:r>
                    <a:br>
                      <a:rPr lang="en-US" sz="1050" baseline="0"/>
                    </a:br>
                    <a:r>
                      <a:rPr lang="en-US" sz="1050" baseline="0"/>
                      <a:t>R² = 1</a:t>
                    </a:r>
                    <a:endParaRPr lang="en-US" sz="105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SENSIBILIZACION!$N$6:$N$12</c:f>
              <c:numCache>
                <c:formatCode>0%</c:formatCode>
                <c:ptCount val="7"/>
                <c:pt idx="0">
                  <c:v>0.15</c:v>
                </c:pt>
                <c:pt idx="1">
                  <c:v>0.1</c:v>
                </c:pt>
                <c:pt idx="2">
                  <c:v>0.05</c:v>
                </c:pt>
                <c:pt idx="3">
                  <c:v>0</c:v>
                </c:pt>
                <c:pt idx="4">
                  <c:v>-0.05</c:v>
                </c:pt>
                <c:pt idx="5">
                  <c:v>-0.1</c:v>
                </c:pt>
                <c:pt idx="6">
                  <c:v>-0.15</c:v>
                </c:pt>
              </c:numCache>
            </c:numRef>
          </c:xVal>
          <c:yVal>
            <c:numRef>
              <c:f>SENSIBILIZACION!$O$6:$O$12</c:f>
              <c:numCache>
                <c:formatCode>0</c:formatCode>
                <c:ptCount val="7"/>
                <c:pt idx="0">
                  <c:v>11312.930568833721</c:v>
                </c:pt>
                <c:pt idx="1">
                  <c:v>11389.335445810637</c:v>
                </c:pt>
                <c:pt idx="2">
                  <c:v>11465.740322787551</c:v>
                </c:pt>
                <c:pt idx="3">
                  <c:v>11542.145199764467</c:v>
                </c:pt>
                <c:pt idx="4">
                  <c:v>11618.550076741383</c:v>
                </c:pt>
                <c:pt idx="5">
                  <c:v>11694.954953718296</c:v>
                </c:pt>
                <c:pt idx="6">
                  <c:v>11771.359830695214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02-4031-91F6-BB2FC59B1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9914335"/>
        <c:axId val="1089767887"/>
      </c:scatterChart>
      <c:valAx>
        <c:axId val="11299143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89767887"/>
        <c:crosses val="autoZero"/>
        <c:crossBetween val="midCat"/>
      </c:valAx>
      <c:valAx>
        <c:axId val="1089767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1299143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746760</xdr:colOff>
      <xdr:row>6</xdr:row>
      <xdr:rowOff>41910</xdr:rowOff>
    </xdr:from>
    <xdr:to>
      <xdr:col>11</xdr:col>
      <xdr:colOff>563880</xdr:colOff>
      <xdr:row>21</xdr:row>
      <xdr:rowOff>41910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A3F144D-687F-1362-D55A-9FE0CC501D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19</xdr:row>
      <xdr:rowOff>38100</xdr:rowOff>
    </xdr:from>
    <xdr:to>
      <xdr:col>7</xdr:col>
      <xdr:colOff>647700</xdr:colOff>
      <xdr:row>21</xdr:row>
      <xdr:rowOff>83820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366AD4B0-0E26-42D3-C57E-BA6C61C7B74F}"/>
            </a:ext>
          </a:extLst>
        </xdr:cNvPr>
        <xdr:cNvCxnSpPr/>
      </xdr:nvCxnSpPr>
      <xdr:spPr>
        <a:xfrm flipH="1">
          <a:off x="7399020" y="3528060"/>
          <a:ext cx="2072640" cy="411480"/>
        </a:xfrm>
        <a:prstGeom prst="straightConnector1">
          <a:avLst/>
        </a:prstGeom>
        <a:ln w="76200"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26</xdr:row>
      <xdr:rowOff>140970</xdr:rowOff>
    </xdr:from>
    <xdr:to>
      <xdr:col>6</xdr:col>
      <xdr:colOff>68580</xdr:colOff>
      <xdr:row>41</xdr:row>
      <xdr:rowOff>140970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C881190-9478-BCBE-7AD5-C34E237F7D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27</xdr:row>
      <xdr:rowOff>3810</xdr:rowOff>
    </xdr:from>
    <xdr:to>
      <xdr:col>12</xdr:col>
      <xdr:colOff>228600</xdr:colOff>
      <xdr:row>42</xdr:row>
      <xdr:rowOff>3810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566F9EE-8D11-1C90-2FDA-99F6DFBD6A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754380</xdr:colOff>
      <xdr:row>27</xdr:row>
      <xdr:rowOff>3810</xdr:rowOff>
    </xdr:from>
    <xdr:to>
      <xdr:col>18</xdr:col>
      <xdr:colOff>571500</xdr:colOff>
      <xdr:row>42</xdr:row>
      <xdr:rowOff>3810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FD0EB7A-899C-DFB5-274C-9895BBC50C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4c6dece834eaf674/Escritorio/graficos%20encuesta%20proyec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s 1"/>
      <sheetName val="Gráficos 2"/>
      <sheetName val="Gráficos 3"/>
      <sheetName val="Graficos demanda"/>
      <sheetName val="Gráficos oferta"/>
      <sheetName val="Gantt"/>
      <sheetName val="Tablas costos"/>
      <sheetName val="Sueldos y cobros"/>
      <sheetName val="Demanda anual"/>
      <sheetName val="Consumos de energía"/>
      <sheetName val="Gastos e ingresos"/>
      <sheetName val="CAPITAL DE TRABAJO"/>
      <sheetName val="Depreciación"/>
      <sheetName val="Recuperación de IVA"/>
      <sheetName val="Reinversión, deprec. y rec. IVA"/>
      <sheetName val="FLUJO PURO 5"/>
      <sheetName val="FLUJO PURO 6"/>
      <sheetName val="FLUJO FIN 50%"/>
      <sheetName val="FLUJO FIN 50% (2)"/>
      <sheetName val="FLUJO FIN 75%"/>
      <sheetName val="FLUJO FIN 75% (2)"/>
      <sheetName val="Extr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9">
          <cell r="C49">
            <v>5.6300000000000003E-2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tables/table1.xml><?xml version="1.0" encoding="utf-8"?>
<table xmlns="http://schemas.openxmlformats.org/spreadsheetml/2006/main" id="1" name="Tabla1" displayName="Tabla1" ref="B5:C16" totalsRowShown="0">
  <autoFilter ref="B5:C16"/>
  <tableColumns count="2">
    <tableColumn id="1" name="AÑO"/>
    <tableColumn id="2" name="POBLACIÓN" dataDxfId="194"/>
  </tableColumns>
  <tableStyleInfo name="TableStyleMedium13" showFirstColumn="0" showLastColumn="0" showRowStripes="1" showColumnStripes="0"/>
</table>
</file>

<file path=xl/tables/table10.xml><?xml version="1.0" encoding="utf-8"?>
<table xmlns="http://schemas.openxmlformats.org/spreadsheetml/2006/main" id="16" name="Tabla4" displayName="Tabla4" ref="B56:F65" totalsRowShown="0" headerRowDxfId="157">
  <autoFilter ref="B56:F65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Descripción" dataDxfId="156"/>
    <tableColumn id="2" name="Cantidad" dataDxfId="155"/>
    <tableColumn id="6" name="Valor Unitario" dataDxfId="154" dataCellStyle="Moneda [0]"/>
    <tableColumn id="3" name="Valor $" dataDxfId="153" dataCellStyle="Moneda [0]"/>
    <tableColumn id="4" name="Valor UF" dataDxfId="152">
      <calculatedColumnFormula>Tabla4[[#This Row],[Valor $]]/$D$2</calculatedColumnFormula>
    </tableColumn>
  </tableColumns>
  <tableStyleInfo name="TableStyleMedium13" showFirstColumn="0" showLastColumn="0" showRowStripes="1" showColumnStripes="0"/>
</table>
</file>

<file path=xl/tables/table11.xml><?xml version="1.0" encoding="utf-8"?>
<table xmlns="http://schemas.openxmlformats.org/spreadsheetml/2006/main" id="26" name="Tabla50" displayName="Tabla50" ref="C4:S12" totalsRowShown="0" headerRowDxfId="151" dataDxfId="150">
  <autoFilter ref="C4:S1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name="ENE" dataDxfId="149">
      <calculatedColumnFormula>30000/$U$2</calculatedColumnFormula>
    </tableColumn>
    <tableColumn id="2" name="FEB" dataDxfId="148"/>
    <tableColumn id="3" name="MAR" dataDxfId="147"/>
    <tableColumn id="4" name="ABR" dataDxfId="146"/>
    <tableColumn id="5" name="MAY" dataDxfId="145"/>
    <tableColumn id="6" name="JUN" dataDxfId="144"/>
    <tableColumn id="7" name="JUL" dataDxfId="143"/>
    <tableColumn id="8" name="AGO" dataDxfId="142"/>
    <tableColumn id="9" name="SEPT" dataDxfId="141"/>
    <tableColumn id="10" name="OCT" dataDxfId="140"/>
    <tableColumn id="11" name="NOV" dataDxfId="139"/>
    <tableColumn id="12" name="DIC" dataDxfId="138"/>
    <tableColumn id="13" name="Columna1" dataDxfId="137"/>
    <tableColumn id="14" name="Columna2" dataDxfId="136">
      <calculatedColumnFormula>SUM(Tabla50[[#This Row],[ENE]:[DIC]])</calculatedColumnFormula>
    </tableColumn>
    <tableColumn id="15" name="Columna3" dataDxfId="135"/>
    <tableColumn id="16" name="Columna4" dataDxfId="134"/>
    <tableColumn id="17" name="Columna5" dataDxfId="133"/>
  </tableColumns>
  <tableStyleInfo name="TableStyleMedium13" showFirstColumn="0" showLastColumn="0" showRowStripes="1" showColumnStripes="0"/>
</table>
</file>

<file path=xl/tables/table12.xml><?xml version="1.0" encoding="utf-8"?>
<table xmlns="http://schemas.openxmlformats.org/spreadsheetml/2006/main" id="17" name="Tabla8" displayName="Tabla8" ref="B7:F17" totalsRowShown="0" headerRowDxfId="132" dataDxfId="131">
  <autoFilter ref="B7:F17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Descripción" dataDxfId="130"/>
    <tableColumn id="2" name="Cantidad" dataDxfId="129"/>
    <tableColumn id="3" name="Valor Unitario" dataDxfId="128" dataCellStyle="Moneda [0]"/>
    <tableColumn id="4" name="Valor Total $" dataDxfId="127" dataCellStyle="Moneda [0]"/>
    <tableColumn id="5" name="Valor en UF" dataDxfId="126">
      <calculatedColumnFormula>E8/$E$2</calculatedColumnFormula>
    </tableColumn>
  </tableColumns>
  <tableStyleInfo name="TableStyleMedium13" showFirstColumn="0" showLastColumn="0" showRowStripes="1" showColumnStripes="0"/>
</table>
</file>

<file path=xl/tables/table13.xml><?xml version="1.0" encoding="utf-8"?>
<table xmlns="http://schemas.openxmlformats.org/spreadsheetml/2006/main" id="18" name="Tabla1119" displayName="Tabla1119" ref="B22:E27" totalsRowShown="0" headerRowDxfId="125" dataDxfId="123" headerRowBorderDxfId="124">
  <autoFilter ref="B22:E27">
    <filterColumn colId="0" hiddenButton="1"/>
    <filterColumn colId="1" hiddenButton="1"/>
    <filterColumn colId="2" hiddenButton="1"/>
    <filterColumn colId="3" hiddenButton="1"/>
  </autoFilter>
  <tableColumns count="4">
    <tableColumn id="1" name="Descripción" dataDxfId="122"/>
    <tableColumn id="2" name="Total $" dataDxfId="121">
      <calculatedColumnFormula>SUM(L13:L15)</calculatedColumnFormula>
    </tableColumn>
    <tableColumn id="3" name="Total con IVA" dataDxfId="120">
      <calculatedColumnFormula>Tabla1119[[#This Row],[Total $]]/$E$2</calculatedColumnFormula>
    </tableColumn>
    <tableColumn id="4" name="Total sin IVA" dataDxfId="119">
      <calculatedColumnFormula>Tabla1119[[#This Row],[Total con IVA]]*(1-$E$4)</calculatedColumnFormula>
    </tableColumn>
  </tableColumns>
  <tableStyleInfo name="TableStyleMedium13" showFirstColumn="0" showLastColumn="0" showRowStripes="1" showColumnStripes="0"/>
</table>
</file>

<file path=xl/tables/table14.xml><?xml version="1.0" encoding="utf-8"?>
<table xmlns="http://schemas.openxmlformats.org/spreadsheetml/2006/main" id="19" name="Tabla12" displayName="Tabla12" ref="B30:E33" totalsRowShown="0" headerRowDxfId="118" dataDxfId="117">
  <autoFilter ref="B30:E33">
    <filterColumn colId="0" hiddenButton="1"/>
    <filterColumn colId="1" hiddenButton="1"/>
    <filterColumn colId="2" hiddenButton="1"/>
    <filterColumn colId="3" hiddenButton="1"/>
  </autoFilter>
  <tableColumns count="4">
    <tableColumn id="1" name="Descripción" dataDxfId="116"/>
    <tableColumn id="2" name="Total $" dataDxfId="115" dataCellStyle="Moneda [0]">
      <calculatedColumnFormula>C26</calculatedColumnFormula>
    </tableColumn>
    <tableColumn id="3" name="Valor con IVA" dataDxfId="114"/>
    <tableColumn id="4" name="Valor sin IVA" dataDxfId="113"/>
  </tableColumns>
  <tableStyleInfo name="TableStyleMedium13" showFirstColumn="0" showLastColumn="0" showRowStripes="1" showColumnStripes="0"/>
</table>
</file>

<file path=xl/tables/table15.xml><?xml version="1.0" encoding="utf-8"?>
<table xmlns="http://schemas.openxmlformats.org/spreadsheetml/2006/main" id="20" name="Tabla20" displayName="Tabla20" ref="I7:N23" totalsRowShown="0">
  <autoFilter ref="I7:N23"/>
  <tableColumns count="6">
    <tableColumn id="1" name="Descripción" dataDxfId="112"/>
    <tableColumn id="2" name="Cantidad" dataDxfId="111"/>
    <tableColumn id="3" name="Valor unitario" dataDxfId="110" dataCellStyle="Moneda [0] 2"/>
    <tableColumn id="4" name="Valor Total" dataDxfId="109" dataCellStyle="Moneda [0] 2"/>
    <tableColumn id="5" name="Total UF c/IVA " dataDxfId="108">
      <calculatedColumnFormula>L8/$E$2</calculatedColumnFormula>
    </tableColumn>
    <tableColumn id="6" name="Total UF s/IVA" dataDxfId="107">
      <calculatedColumnFormula>Tabla20[[#This Row],[Total UF c/IVA ]]*(1-$E$4)</calculatedColumnFormula>
    </tableColumn>
  </tableColumns>
  <tableStyleInfo name="TableStyleMedium13" showFirstColumn="0" showLastColumn="0" showRowStripes="1" showColumnStripes="0"/>
</table>
</file>

<file path=xl/tables/table16.xml><?xml version="1.0" encoding="utf-8"?>
<table xmlns="http://schemas.openxmlformats.org/spreadsheetml/2006/main" id="21" name="Tabla79" displayName="Tabla79" ref="S7:W14" totalsRowShown="0">
  <autoFilter ref="S7:W14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Costos fijos"/>
    <tableColumn id="2" name="$ Con IVA"/>
    <tableColumn id="3" name="UF Mensual" dataDxfId="106">
      <calculatedColumnFormula>Tabla79[[#This Row],[$ Con IVA]]/$E$2</calculatedColumnFormula>
    </tableColumn>
    <tableColumn id="4" name="Total anual" dataDxfId="105">
      <calculatedColumnFormula>Tabla79[[#This Row],[UF Mensual]]*12</calculatedColumnFormula>
    </tableColumn>
    <tableColumn id="5" name="Total sin IVA" dataDxfId="104">
      <calculatedColumnFormula>Tabla79[[#This Row],[Total anual]]</calculatedColumnFormula>
    </tableColumn>
  </tableColumns>
  <tableStyleInfo name="TableStyleMedium13" showFirstColumn="0" showLastColumn="0" showRowStripes="1" showColumnStripes="0"/>
</table>
</file>

<file path=xl/tables/table17.xml><?xml version="1.0" encoding="utf-8"?>
<table xmlns="http://schemas.openxmlformats.org/spreadsheetml/2006/main" id="22" name="Tabla80" displayName="Tabla80" ref="S17:U22" totalsRowShown="0" headerRowDxfId="103">
  <autoFilter ref="S17:U22">
    <filterColumn colId="0" hiddenButton="1"/>
    <filterColumn colId="1" hiddenButton="1"/>
    <filterColumn colId="2" hiddenButton="1"/>
  </autoFilter>
  <tableColumns count="3">
    <tableColumn id="1" name="Remuneraciones" dataDxfId="102"/>
    <tableColumn id="2" name="Valor $" dataDxfId="101" dataCellStyle="Moneda [0]"/>
    <tableColumn id="3" name="UF" dataDxfId="100">
      <calculatedColumnFormula>Tabla80[[#This Row],[Valor $]]/$E$2</calculatedColumnFormula>
    </tableColumn>
  </tableColumns>
  <tableStyleInfo name="TableStyleMedium13" showFirstColumn="0" showLastColumn="0" showRowStripes="1" showColumnStripes="0"/>
</table>
</file>

<file path=xl/tables/table18.xml><?xml version="1.0" encoding="utf-8"?>
<table xmlns="http://schemas.openxmlformats.org/spreadsheetml/2006/main" id="23" name="Tabla23" displayName="Tabla23" ref="T25:X28" totalsRowShown="0">
  <autoFilter ref="T25:X28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Año 1" dataDxfId="99"/>
    <tableColumn id="2" name="Año 2" dataDxfId="98"/>
    <tableColumn id="3" name="Año 3" dataDxfId="97"/>
    <tableColumn id="4" name="Año 4" dataDxfId="96"/>
    <tableColumn id="5" name="Año 5" dataDxfId="95"/>
  </tableColumns>
  <tableStyleInfo name="TableStyleMedium13" showFirstColumn="0" showLastColumn="0" showRowStripes="1" showColumnStripes="0"/>
</table>
</file>

<file path=xl/tables/table19.xml><?xml version="1.0" encoding="utf-8"?>
<table xmlns="http://schemas.openxmlformats.org/spreadsheetml/2006/main" id="24" name="Tabla81" displayName="Tabla81" ref="AA9:AE13" totalsRowCount="1" headerRowDxfId="94" totalsRowDxfId="93">
  <autoFilter ref="AA9:AE12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AÑO 1" dataDxfId="92" totalsRowDxfId="91"/>
    <tableColumn id="2" name="AÑO 2" dataDxfId="90" totalsRowDxfId="89"/>
    <tableColumn id="3" name="AÑO 3" dataDxfId="88" totalsRowDxfId="87"/>
    <tableColumn id="4" name="AÑO 4" dataDxfId="86" totalsRowDxfId="85"/>
    <tableColumn id="5" name="AÑO 5" dataDxfId="84" totalsRowDxfId="83"/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N4:O15" totalsRowShown="0" headerRowDxfId="193" headerRowBorderDxfId="192">
  <autoFilter ref="N4:O15"/>
  <tableColumns count="2">
    <tableColumn id="1" name="AÑO" dataDxfId="191"/>
    <tableColumn id="2" name="POBLACIÓN"/>
  </tableColumns>
  <tableStyleInfo name="TableStyleMedium13" showFirstColumn="0" showLastColumn="0" showRowStripes="1" showColumnStripes="0"/>
</table>
</file>

<file path=xl/tables/table20.xml><?xml version="1.0" encoding="utf-8"?>
<table xmlns="http://schemas.openxmlformats.org/spreadsheetml/2006/main" id="4" name="Tabla5" displayName="Tabla5" ref="AA19:AC25" totalsRowShown="0" headerRowDxfId="82" dataDxfId="81">
  <autoFilter ref="AA19:AC25">
    <filterColumn colId="0" hiddenButton="1"/>
    <filterColumn colId="1" hiddenButton="1"/>
    <filterColumn colId="2" hiddenButton="1"/>
  </autoFilter>
  <tableColumns count="3">
    <tableColumn id="1" name="Remuneraciones" dataDxfId="80"/>
    <tableColumn id="2" name="Valor $" dataDxfId="79"/>
    <tableColumn id="3" name="UF" dataDxfId="78"/>
  </tableColumns>
  <tableStyleInfo name="TableStyleMedium13" showFirstColumn="0" showLastColumn="0" showRowStripes="1" showColumnStripes="0"/>
</table>
</file>

<file path=xl/tables/table21.xml><?xml version="1.0" encoding="utf-8"?>
<table xmlns="http://schemas.openxmlformats.org/spreadsheetml/2006/main" id="25" name="Tabla25" displayName="Tabla25" ref="C5:G9" totalsRowShown="0" headerRowDxfId="77" dataDxfId="76">
  <autoFilter ref="C5:G9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Año 1" dataDxfId="75"/>
    <tableColumn id="2" name="Año 2" dataDxfId="74"/>
    <tableColumn id="3" name="Año 3" dataDxfId="73"/>
    <tableColumn id="4" name="Año 4" dataDxfId="72"/>
    <tableColumn id="5" name="Año 5" dataDxfId="71"/>
  </tableColumns>
  <tableStyleInfo name="TableStyleMedium13" showFirstColumn="0" showLastColumn="0" showRowStripes="1" showColumnStripes="0"/>
</table>
</file>

<file path=xl/tables/table22.xml><?xml version="1.0" encoding="utf-8"?>
<table xmlns="http://schemas.openxmlformats.org/spreadsheetml/2006/main" id="27" name="Tabla27" displayName="Tabla27" ref="B5:I29" totalsRowShown="0">
  <autoFilter ref="B5:I2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name="Descripción"/>
    <tableColumn id="2" name="Cantidad"/>
    <tableColumn id="3" name="Precio unitario" dataDxfId="70"/>
    <tableColumn id="4" name="Precio Total" dataDxfId="69"/>
    <tableColumn id="5" name="V. Util normal" dataDxfId="68"/>
    <tableColumn id="6" name="V. Util Acelerada" dataDxfId="67"/>
    <tableColumn id="7" name="Año 1" dataDxfId="66"/>
    <tableColumn id="8" name="Año 2" dataDxfId="65"/>
  </tableColumns>
  <tableStyleInfo name="TableStyleMedium13" showFirstColumn="0" showLastColumn="0" showRowStripes="1" showColumnStripes="0"/>
</table>
</file>

<file path=xl/tables/table23.xml><?xml version="1.0" encoding="utf-8"?>
<table xmlns="http://schemas.openxmlformats.org/spreadsheetml/2006/main" id="28" name="Tabla39" displayName="Tabla39" ref="B6:H10" totalsRowShown="0" headerRowDxfId="64" dataDxfId="63" dataCellStyle="Moneda [0]">
  <autoFilter ref="B6:H1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SIN IVA" dataDxfId="62"/>
    <tableColumn id="2" name="AÑO 0" dataDxfId="61" dataCellStyle="Moneda [0]">
      <calculatedColumnFormula>DEPRECIACIÓN!E26*(1-19%)</calculatedColumnFormula>
    </tableColumn>
    <tableColumn id="3" name="AÑO 1" dataDxfId="60" dataCellStyle="Moneda [0]">
      <calculatedColumnFormula>R9</calculatedColumnFormula>
    </tableColumn>
    <tableColumn id="4" name="AÑO 2" dataDxfId="59" dataCellStyle="Moneda [0]"/>
    <tableColumn id="5" name="AÑO 3" dataDxfId="58" dataCellStyle="Moneda [0]"/>
    <tableColumn id="6" name="AÑO 4" dataDxfId="57" dataCellStyle="Moneda [0]"/>
    <tableColumn id="7" name="AÑO 5" dataDxfId="56" dataCellStyle="Moneda [0]"/>
  </tableColumns>
  <tableStyleInfo name="TableStyleMedium13" showFirstColumn="0" showLastColumn="0" showRowStripes="1" showColumnStripes="0"/>
</table>
</file>

<file path=xl/tables/table24.xml><?xml version="1.0" encoding="utf-8"?>
<table xmlns="http://schemas.openxmlformats.org/spreadsheetml/2006/main" id="29" name="Tabla40" displayName="Tabla40" ref="B13:G16" totalsRowShown="0" headerRowDxfId="55" dataDxfId="54" dataCellStyle="Moneda [0]">
  <autoFilter ref="B13:G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name="EGRESOS CON IVA" dataDxfId="53"/>
    <tableColumn id="2" name="AÑO 1" dataDxfId="52" dataCellStyle="Moneda [0]">
      <calculatedColumnFormula>SUM(T18:T22)</calculatedColumnFormula>
    </tableColumn>
    <tableColumn id="3" name="AÑO 2" dataDxfId="51" dataCellStyle="Moneda [0]"/>
    <tableColumn id="4" name="AÑO 3" dataDxfId="50" dataCellStyle="Moneda [0]"/>
    <tableColumn id="5" name="AÑO 4" dataDxfId="49" dataCellStyle="Moneda [0]"/>
    <tableColumn id="6" name="AÑO 5" dataDxfId="48" dataCellStyle="Moneda [0]"/>
  </tableColumns>
  <tableStyleInfo name="TableStyleMedium13" showFirstColumn="0" showLastColumn="0" showRowStripes="1" showColumnStripes="0"/>
</table>
</file>

<file path=xl/tables/table25.xml><?xml version="1.0" encoding="utf-8"?>
<table xmlns="http://schemas.openxmlformats.org/spreadsheetml/2006/main" id="30" name="Tabla41" displayName="Tabla41" ref="B19:H25" totalsRowShown="0" headerRowDxfId="47" dataDxfId="46">
  <autoFilter ref="B19:H2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BALANCE DE IVA" dataDxfId="45"/>
    <tableColumn id="2" name="AÑO 0" dataDxfId="44"/>
    <tableColumn id="3" name="AÑO 1" dataDxfId="43"/>
    <tableColumn id="4" name="AÑO 2" dataDxfId="42"/>
    <tableColumn id="5" name="AÑO 3" dataDxfId="41"/>
    <tableColumn id="6" name="AÑO 4" dataDxfId="40"/>
    <tableColumn id="7" name="AÑO 5" dataDxfId="39"/>
  </tableColumns>
  <tableStyleInfo name="TableStyleMedium13" showFirstColumn="0" showLastColumn="0" showRowStripes="1" showColumnStripes="0"/>
</table>
</file>

<file path=xl/tables/table26.xml><?xml version="1.0" encoding="utf-8"?>
<table xmlns="http://schemas.openxmlformats.org/spreadsheetml/2006/main" id="5" name="Tabla6" displayName="Tabla6" ref="L40:P43" totalsRowShown="0" headerRowDxfId="38" dataDxfId="37">
  <autoFilter ref="L40:P43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Tipo de proyecto" dataDxfId="36"/>
    <tableColumn id="2" name="Tasa de descuento" dataDxfId="35">
      <calculatedColumnFormula>C47</calculatedColumnFormula>
    </tableColumn>
    <tableColumn id="3" name="VAN (UF)" dataDxfId="34"/>
    <tableColumn id="4" name="TIR" dataDxfId="33"/>
    <tableColumn id="5" name="PRI" dataDxfId="32"/>
  </tableColumns>
  <tableStyleInfo name="TableStyleMedium13" showFirstColumn="0" showLastColumn="0" showRowStripes="1" showColumnStripes="0"/>
</table>
</file>

<file path=xl/tables/table27.xml><?xml version="1.0" encoding="utf-8"?>
<table xmlns="http://schemas.openxmlformats.org/spreadsheetml/2006/main" id="32" name="Tabla32" displayName="Tabla32" ref="K37:Q42" totalsRowShown="0" headerRowDxfId="31" dataDxfId="29" headerRowBorderDxfId="30" tableBorderDxfId="28" totalsRowBorderDxfId="27">
  <autoFilter ref="K37:Q4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AÑO" dataDxfId="26"/>
    <tableColumn id="2" name="0" dataDxfId="25"/>
    <tableColumn id="3" name="1" dataDxfId="24"/>
    <tableColumn id="4" name="2" dataDxfId="23"/>
    <tableColumn id="5" name="3" dataDxfId="22"/>
    <tableColumn id="6" name="4" dataDxfId="21"/>
    <tableColumn id="7" name="5" dataDxfId="20"/>
  </tableColumns>
  <tableStyleInfo name="TableStyleMedium13" showFirstColumn="0" showLastColumn="0" showRowStripes="1" showColumnStripes="0"/>
</table>
</file>

<file path=xl/tables/table28.xml><?xml version="1.0" encoding="utf-8"?>
<table xmlns="http://schemas.openxmlformats.org/spreadsheetml/2006/main" id="31" name="Tabla31" displayName="Tabla31" ref="K36:Q41" totalsRowShown="0" headerRowDxfId="19" dataDxfId="17" headerRowBorderDxfId="18" tableBorderDxfId="16" totalsRowBorderDxfId="15">
  <autoFilter ref="K36:Q4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AÑO" dataDxfId="14"/>
    <tableColumn id="2" name="0" dataDxfId="13"/>
    <tableColumn id="3" name="1" dataDxfId="12"/>
    <tableColumn id="4" name="2" dataDxfId="11"/>
    <tableColumn id="5" name="3" dataDxfId="10"/>
    <tableColumn id="6" name="4" dataDxfId="9"/>
    <tableColumn id="7" name="5" dataDxfId="8"/>
  </tableColumns>
  <tableStyleInfo name="TableStyleMedium13" showFirstColumn="0" showLastColumn="0" showRowStripes="1" showColumnStripes="0"/>
</table>
</file>

<file path=xl/tables/table29.xml><?xml version="1.0" encoding="utf-8"?>
<table xmlns="http://schemas.openxmlformats.org/spreadsheetml/2006/main" id="6" name="Tabla7" displayName="Tabla7" ref="B80:D81" totalsRowShown="0" headerRowDxfId="7">
  <autoFilter ref="B80:D81">
    <filterColumn colId="0" hiddenButton="1"/>
    <filterColumn colId="1" hiddenButton="1"/>
    <filterColumn colId="2" hiddenButton="1"/>
  </autoFilter>
  <tableColumns count="3">
    <tableColumn id="1" name="Depreciación"/>
    <tableColumn id="2" name="Año 1" dataDxfId="6"/>
    <tableColumn id="3" name="Año 2" dataDxfId="5"/>
  </tableColumns>
  <tableStyleInfo name="TableStyleMedium13" showFirstColumn="0" showLastColumn="0" showRowStripes="1" showColumnStripes="0"/>
</table>
</file>

<file path=xl/tables/table3.xml><?xml version="1.0" encoding="utf-8"?>
<table xmlns="http://schemas.openxmlformats.org/spreadsheetml/2006/main" id="8" name="Tabla24" displayName="Tabla24" ref="B7:D11" totalsRowShown="0" headerRowDxfId="190" dataDxfId="189">
  <autoFilter ref="B7:D11">
    <filterColumn colId="0" hiddenButton="1"/>
    <filterColumn colId="1" hiddenButton="1"/>
    <filterColumn colId="2" hiddenButton="1"/>
  </autoFilter>
  <tableColumns count="3">
    <tableColumn id="1" name="Descripción" dataDxfId="188"/>
    <tableColumn id="2" name="Valor $" dataDxfId="187" dataCellStyle="Moneda [0]"/>
    <tableColumn id="3" name="Valor en UF" dataDxfId="186">
      <calculatedColumnFormula>Tabla24[[#This Row],[Valor $]]/$D$2</calculatedColumnFormula>
    </tableColumn>
  </tableColumns>
  <tableStyleInfo name="TableStyleMedium13" showFirstColumn="0" showLastColumn="0" showRowStripes="1" showColumnStripes="0"/>
</table>
</file>

<file path=xl/tables/table30.xml><?xml version="1.0" encoding="utf-8"?>
<table xmlns="http://schemas.openxmlformats.org/spreadsheetml/2006/main" id="7" name="Tabla10" displayName="Tabla10" ref="T37:V42" totalsRowShown="0" headerRowDxfId="4" dataDxfId="3">
  <autoFilter ref="T37:V42">
    <filterColumn colId="0" hiddenButton="1"/>
    <filterColumn colId="1" hiddenButton="1"/>
    <filterColumn colId="2" hiddenButton="1"/>
  </autoFilter>
  <tableColumns count="3">
    <tableColumn id="1" name="Descripción" dataDxfId="2"/>
    <tableColumn id="2" name="50%" dataDxfId="1"/>
    <tableColumn id="3" name="75%" dataDxfId="0"/>
  </tableColumns>
  <tableStyleInfo name="TableStyleMedium13" showFirstColumn="0" showLastColumn="0" showRowStripes="1" showColumnStripes="0"/>
</table>
</file>

<file path=xl/tables/table4.xml><?xml version="1.0" encoding="utf-8"?>
<table xmlns="http://schemas.openxmlformats.org/spreadsheetml/2006/main" id="9" name="Tabla53" displayName="Tabla53" ref="B15:D19" totalsRowShown="0" headerRowDxfId="185" dataDxfId="184">
  <autoFilter ref="B15:D19">
    <filterColumn colId="0" hiddenButton="1"/>
    <filterColumn colId="1" hiddenButton="1"/>
    <filterColumn colId="2" hiddenButton="1"/>
  </autoFilter>
  <tableColumns count="3">
    <tableColumn id="1" name="Descripción" dataDxfId="183"/>
    <tableColumn id="2" name="Valor $" dataDxfId="182" dataCellStyle="Moneda [0]"/>
    <tableColumn id="3" name="Valor UF" dataDxfId="181">
      <calculatedColumnFormula>Tabla53[[#This Row],[Valor $]]/$D$2</calculatedColumnFormula>
    </tableColumn>
  </tableColumns>
  <tableStyleInfo name="TableStyleMedium13" showFirstColumn="0" showLastColumn="0" showRowStripes="1" showColumnStripes="0"/>
</table>
</file>

<file path=xl/tables/table5.xml><?xml version="1.0" encoding="utf-8"?>
<table xmlns="http://schemas.openxmlformats.org/spreadsheetml/2006/main" id="10" name="Tabla52" displayName="Tabla52" ref="G7:I12" totalsRowShown="0" headerRowDxfId="180" dataDxfId="179">
  <autoFilter ref="G7:I12">
    <filterColumn colId="0" hiddenButton="1"/>
    <filterColumn colId="1" hiddenButton="1"/>
    <filterColumn colId="2" hiddenButton="1"/>
  </autoFilter>
  <tableColumns count="3">
    <tableColumn id="1" name="Descripción" dataDxfId="178"/>
    <tableColumn id="2" name="Valor $" dataDxfId="177" dataCellStyle="Moneda [0]">
      <calculatedColumnFormula>#REF!</calculatedColumnFormula>
    </tableColumn>
    <tableColumn id="3" name="Valor UF" dataDxfId="176">
      <calculatedColumnFormula>D11+D19</calculatedColumnFormula>
    </tableColumn>
  </tableColumns>
  <tableStyleInfo name="TableStyleMedium13" showFirstColumn="0" showLastColumn="0" showRowStripes="1" showColumnStripes="0"/>
</table>
</file>

<file path=xl/tables/table6.xml><?xml version="1.0" encoding="utf-8"?>
<table xmlns="http://schemas.openxmlformats.org/spreadsheetml/2006/main" id="11" name="Tabla11" displayName="Tabla11" ref="G19:I24" totalsRowShown="0" headerRowDxfId="175">
  <autoFilter ref="G19:I24">
    <filterColumn colId="0" hiddenButton="1"/>
    <filterColumn colId="1" hiddenButton="1"/>
    <filterColumn colId="2" hiddenButton="1"/>
  </autoFilter>
  <tableColumns count="3">
    <tableColumn id="1" name="Descripción" dataDxfId="174"/>
    <tableColumn id="2" name="Valor $" dataDxfId="173" dataCellStyle="Moneda [0] 2"/>
    <tableColumn id="3" name="UF sin IVA" dataDxfId="172">
      <calculatedColumnFormula>Tabla11[[#This Row],[Valor $]]/$D$2</calculatedColumnFormula>
    </tableColumn>
  </tableColumns>
  <tableStyleInfo name="TableStyleMedium13" showFirstColumn="0" showLastColumn="0" showRowStripes="1" showColumnStripes="0"/>
</table>
</file>

<file path=xl/tables/table7.xml><?xml version="1.0" encoding="utf-8"?>
<table xmlns="http://schemas.openxmlformats.org/spreadsheetml/2006/main" id="13" name="Tabla13" displayName="Tabla13" ref="B31:E39" totalsRowShown="0" headerRowDxfId="171">
  <autoFilter ref="B31:E39"/>
  <tableColumns count="4">
    <tableColumn id="1" name="Item" dataDxfId="170"/>
    <tableColumn id="2" name="Cantidad" dataDxfId="169"/>
    <tableColumn id="3" name="Valor $" dataDxfId="168" dataCellStyle="Moneda [0] 2"/>
    <tableColumn id="4" name="Valor UF" dataDxfId="167">
      <calculatedColumnFormula>Tabla13[[#This Row],[Valor $]]/$D$2</calculatedColumnFormula>
    </tableColumn>
  </tableColumns>
  <tableStyleInfo name="TableStyleMedium13" showFirstColumn="0" showLastColumn="0" showRowStripes="1" showColumnStripes="0"/>
</table>
</file>

<file path=xl/tables/table8.xml><?xml version="1.0" encoding="utf-8"?>
<table xmlns="http://schemas.openxmlformats.org/spreadsheetml/2006/main" id="14" name="Tabla3" displayName="Tabla3" ref="C43:F51" totalsRowShown="0" headerRowDxfId="166" dataDxfId="165">
  <autoFilter ref="C43:F51">
    <filterColumn colId="0" hiddenButton="1"/>
    <filterColumn colId="1" hiddenButton="1"/>
    <filterColumn colId="2" hiddenButton="1"/>
    <filterColumn colId="3" hiddenButton="1"/>
  </autoFilter>
  <tableColumns count="4">
    <tableColumn id="1" name="Cantidad" dataDxfId="164"/>
    <tableColumn id="2" name="Valor Unitario" dataDxfId="163"/>
    <tableColumn id="3" name="Valor $" dataDxfId="162" dataCellStyle="Moneda [0]">
      <calculatedColumnFormula>Tabla3[[#This Row],[Valor Unitario]]*Tabla3[[#This Row],[Cantidad]]</calculatedColumnFormula>
    </tableColumn>
    <tableColumn id="4" name="Valor UF" dataDxfId="161">
      <calculatedColumnFormula>Tabla3[[#This Row],[Valor $]]/$D$2</calculatedColumnFormula>
    </tableColumn>
  </tableColumns>
  <tableStyleInfo name="TableStyleMedium13" showFirstColumn="0" showLastColumn="0" showRowStripes="1" showColumnStripes="0"/>
</table>
</file>

<file path=xl/tables/table9.xml><?xml version="1.0" encoding="utf-8"?>
<table xmlns="http://schemas.openxmlformats.org/spreadsheetml/2006/main" id="15" name="Tabla9" displayName="Tabla9" ref="B43:B52" totalsRowShown="0" headerRowDxfId="160" dataDxfId="159">
  <autoFilter ref="B43:B52">
    <filterColumn colId="0" hiddenButton="1"/>
  </autoFilter>
  <tableColumns count="1">
    <tableColumn id="1" name="Descripción" dataDxfId="158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table" Target="../tables/table29.xml"/><Relationship Id="rId1" Type="http://schemas.openxmlformats.org/officeDocument/2006/relationships/table" Target="../tables/table2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8.xml"/><Relationship Id="rId3" Type="http://schemas.openxmlformats.org/officeDocument/2006/relationships/table" Target="../tables/table13.xml"/><Relationship Id="rId7" Type="http://schemas.openxmlformats.org/officeDocument/2006/relationships/table" Target="../tables/table17.xml"/><Relationship Id="rId2" Type="http://schemas.openxmlformats.org/officeDocument/2006/relationships/table" Target="../tables/table12.xml"/><Relationship Id="rId1" Type="http://schemas.openxmlformats.org/officeDocument/2006/relationships/drawing" Target="../drawings/drawing2.xml"/><Relationship Id="rId6" Type="http://schemas.openxmlformats.org/officeDocument/2006/relationships/table" Target="../tables/table16.xml"/><Relationship Id="rId5" Type="http://schemas.openxmlformats.org/officeDocument/2006/relationships/table" Target="../tables/table15.xml"/><Relationship Id="rId10" Type="http://schemas.openxmlformats.org/officeDocument/2006/relationships/table" Target="../tables/table20.xml"/><Relationship Id="rId4" Type="http://schemas.openxmlformats.org/officeDocument/2006/relationships/table" Target="../tables/table14.xml"/><Relationship Id="rId9" Type="http://schemas.openxmlformats.org/officeDocument/2006/relationships/table" Target="../tables/table1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table" Target="../tables/table24.xml"/><Relationship Id="rId1" Type="http://schemas.openxmlformats.org/officeDocument/2006/relationships/table" Target="../tables/table2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O25"/>
  <sheetViews>
    <sheetView tabSelected="1" zoomScale="114" workbookViewId="0">
      <selection activeCell="F11" sqref="F11"/>
    </sheetView>
  </sheetViews>
  <sheetFormatPr baseColWidth="10" defaultColWidth="11.42578125" defaultRowHeight="15" x14ac:dyDescent="0.25"/>
  <cols>
    <col min="3" max="3" width="12.85546875" customWidth="1"/>
  </cols>
  <sheetData>
    <row r="4" spans="2:15" ht="15.75" thickBot="1" x14ac:dyDescent="0.3">
      <c r="N4" s="2" t="s">
        <v>0</v>
      </c>
      <c r="O4" s="3" t="s">
        <v>1</v>
      </c>
    </row>
    <row r="5" spans="2:15" ht="15.75" thickTop="1" x14ac:dyDescent="0.25">
      <c r="B5" t="s">
        <v>0</v>
      </c>
      <c r="C5" t="s">
        <v>1</v>
      </c>
      <c r="N5" s="4">
        <v>2011</v>
      </c>
    </row>
    <row r="6" spans="2:15" x14ac:dyDescent="0.25">
      <c r="B6">
        <v>2011</v>
      </c>
      <c r="C6" s="1">
        <v>159919</v>
      </c>
      <c r="N6" s="5">
        <v>2015</v>
      </c>
      <c r="O6">
        <f>C7*19.9%+C7</f>
        <v>429640.06799999997</v>
      </c>
    </row>
    <row r="7" spans="2:15" x14ac:dyDescent="0.25">
      <c r="B7">
        <v>2015</v>
      </c>
      <c r="C7" s="1">
        <v>358332</v>
      </c>
      <c r="N7" s="4">
        <v>2017</v>
      </c>
      <c r="O7">
        <f>C8*23.6%+C8</f>
        <v>499955.82</v>
      </c>
    </row>
    <row r="8" spans="2:15" x14ac:dyDescent="0.25">
      <c r="B8">
        <v>2017</v>
      </c>
      <c r="C8" s="1">
        <v>404495</v>
      </c>
      <c r="N8" s="5">
        <v>2020</v>
      </c>
      <c r="O8">
        <f>C9*23.6%+C9</f>
        <v>621889.69200000004</v>
      </c>
    </row>
    <row r="9" spans="2:15" x14ac:dyDescent="0.25">
      <c r="B9">
        <v>2020</v>
      </c>
      <c r="C9" s="1">
        <v>503147</v>
      </c>
      <c r="N9" s="4">
        <v>2021</v>
      </c>
      <c r="O9">
        <f>C10*24.6%+C10</f>
        <v>644530.88</v>
      </c>
    </row>
    <row r="10" spans="2:15" x14ac:dyDescent="0.25">
      <c r="B10">
        <v>2021</v>
      </c>
      <c r="C10" s="1">
        <v>517280</v>
      </c>
      <c r="N10" s="5">
        <v>2023</v>
      </c>
      <c r="O10">
        <f>C11*25.6%+C11</f>
        <v>673327.78399999999</v>
      </c>
    </row>
    <row r="11" spans="2:15" x14ac:dyDescent="0.25">
      <c r="B11">
        <v>2023</v>
      </c>
      <c r="C11" s="1">
        <v>536089</v>
      </c>
      <c r="N11" s="4">
        <v>2024</v>
      </c>
    </row>
    <row r="12" spans="2:15" x14ac:dyDescent="0.25">
      <c r="B12">
        <v>2024</v>
      </c>
      <c r="C12" s="1"/>
      <c r="N12" s="5">
        <v>2025</v>
      </c>
    </row>
    <row r="13" spans="2:15" x14ac:dyDescent="0.25">
      <c r="B13">
        <v>2025</v>
      </c>
      <c r="C13" s="1"/>
      <c r="N13" s="4">
        <v>2026</v>
      </c>
    </row>
    <row r="14" spans="2:15" x14ac:dyDescent="0.25">
      <c r="B14">
        <v>2026</v>
      </c>
      <c r="C14" s="1"/>
      <c r="N14" s="5">
        <v>2027</v>
      </c>
    </row>
    <row r="15" spans="2:15" x14ac:dyDescent="0.25">
      <c r="B15">
        <v>2027</v>
      </c>
      <c r="C15" s="1"/>
      <c r="N15" s="6">
        <v>2028</v>
      </c>
    </row>
    <row r="16" spans="2:15" x14ac:dyDescent="0.25">
      <c r="B16">
        <v>2028</v>
      </c>
      <c r="C16" s="1"/>
    </row>
    <row r="19" spans="2:5" x14ac:dyDescent="0.25">
      <c r="B19" t="s">
        <v>2</v>
      </c>
      <c r="C19">
        <v>31527</v>
      </c>
      <c r="D19" t="s">
        <v>3</v>
      </c>
      <c r="E19" s="7">
        <v>60000000</v>
      </c>
    </row>
    <row r="21" spans="2:5" x14ac:dyDescent="0.25">
      <c r="B21" s="7">
        <f>$C$19*D21-$E$19</f>
        <v>3810648</v>
      </c>
      <c r="D21">
        <v>2024</v>
      </c>
    </row>
    <row r="22" spans="2:5" x14ac:dyDescent="0.25">
      <c r="B22" s="7">
        <f t="shared" ref="B22:B25" si="0">$C$19*D22-$E$19</f>
        <v>3842175</v>
      </c>
      <c r="D22">
        <v>2025</v>
      </c>
    </row>
    <row r="23" spans="2:5" x14ac:dyDescent="0.25">
      <c r="B23" s="7">
        <f t="shared" si="0"/>
        <v>3873702</v>
      </c>
      <c r="D23">
        <v>2026</v>
      </c>
    </row>
    <row r="24" spans="2:5" x14ac:dyDescent="0.25">
      <c r="B24" s="7">
        <f t="shared" si="0"/>
        <v>3905229</v>
      </c>
      <c r="D24">
        <v>2027</v>
      </c>
    </row>
    <row r="25" spans="2:5" x14ac:dyDescent="0.25">
      <c r="B25" s="7">
        <f t="shared" si="0"/>
        <v>3936756</v>
      </c>
      <c r="D25">
        <v>2028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V81"/>
  <sheetViews>
    <sheetView topLeftCell="A41" zoomScale="68" workbookViewId="0">
      <selection activeCell="I71" sqref="I71"/>
    </sheetView>
  </sheetViews>
  <sheetFormatPr baseColWidth="10" defaultColWidth="11.42578125" defaultRowHeight="15" x14ac:dyDescent="0.25"/>
  <cols>
    <col min="2" max="2" width="42.140625" customWidth="1"/>
    <col min="3" max="3" width="7" bestFit="1" customWidth="1"/>
    <col min="4" max="4" width="6.7109375" bestFit="1" customWidth="1"/>
    <col min="5" max="7" width="6.28515625" bestFit="1" customWidth="1"/>
    <col min="8" max="8" width="6.7109375" bestFit="1" customWidth="1"/>
    <col min="9" max="9" width="17.42578125" customWidth="1"/>
  </cols>
  <sheetData>
    <row r="3" spans="2:12" ht="15.75" thickBot="1" x14ac:dyDescent="0.3"/>
    <row r="4" spans="2:12" ht="16.5" thickBot="1" x14ac:dyDescent="0.3">
      <c r="B4" s="197" t="s">
        <v>200</v>
      </c>
      <c r="C4" s="237">
        <v>0.25</v>
      </c>
      <c r="D4" s="238">
        <v>0.125</v>
      </c>
      <c r="E4" s="237">
        <v>0.25</v>
      </c>
      <c r="F4" s="237">
        <v>0.25</v>
      </c>
      <c r="G4" s="237">
        <v>0.25</v>
      </c>
      <c r="H4" s="239">
        <v>0.25</v>
      </c>
    </row>
    <row r="5" spans="2:12" ht="16.5" thickTop="1" x14ac:dyDescent="0.25">
      <c r="B5" s="198"/>
      <c r="C5" s="240" t="s">
        <v>201</v>
      </c>
      <c r="D5" s="240">
        <v>1</v>
      </c>
      <c r="E5" s="240">
        <v>2</v>
      </c>
      <c r="F5" s="240">
        <v>3</v>
      </c>
      <c r="G5" s="240">
        <v>4</v>
      </c>
      <c r="H5" s="241">
        <v>5</v>
      </c>
    </row>
    <row r="6" spans="2:12" ht="15.75" x14ac:dyDescent="0.25">
      <c r="B6" s="242" t="s">
        <v>202</v>
      </c>
      <c r="C6" s="243"/>
      <c r="D6" s="244">
        <f>INGRESOS!C10</f>
        <v>756.95999999999992</v>
      </c>
      <c r="E6" s="244">
        <f>INGRESOS!D10</f>
        <v>2545.8357599999999</v>
      </c>
      <c r="F6" s="244">
        <f>INGRESOS!E10</f>
        <v>5816.8794384000003</v>
      </c>
      <c r="G6" s="244">
        <f>INGRESOS!F10</f>
        <v>8228.0600977766408</v>
      </c>
      <c r="H6" s="245">
        <f>INGRESOS!G10</f>
        <v>10781.002744477702</v>
      </c>
    </row>
    <row r="7" spans="2:12" ht="15.75" x14ac:dyDescent="0.25">
      <c r="B7" s="242" t="s">
        <v>203</v>
      </c>
      <c r="C7" s="246"/>
      <c r="D7" s="247">
        <f>-GASTOS!AA12</f>
        <v>-251.4821453191783</v>
      </c>
      <c r="E7" s="247">
        <f>-GASTOS!AB12</f>
        <v>-355.82870536329796</v>
      </c>
      <c r="F7" s="247">
        <f>-GASTOS!AC12</f>
        <v>-474.24502964290639</v>
      </c>
      <c r="G7" s="247">
        <f>-GASTOS!AD12</f>
        <v>-584.01136081621405</v>
      </c>
      <c r="H7" s="248">
        <f>-GASTOS!AE12</f>
        <v>-791.10194402316279</v>
      </c>
    </row>
    <row r="8" spans="2:12" ht="16.5" thickBot="1" x14ac:dyDescent="0.3">
      <c r="B8" s="249" t="s">
        <v>204</v>
      </c>
      <c r="C8" s="250"/>
      <c r="D8" s="251">
        <f>-GASTOS!T28</f>
        <v>-1036.7499682889841</v>
      </c>
      <c r="E8" s="251">
        <f>-GASTOS!U28</f>
        <v>-1081.483470409486</v>
      </c>
      <c r="F8" s="251">
        <f>-GASTOS!V28</f>
        <v>-1128.1481397709531</v>
      </c>
      <c r="G8" s="251">
        <f>-GASTOS!W28</f>
        <v>-1176.8273892441894</v>
      </c>
      <c r="H8" s="252">
        <f>-GASTOS!X28</f>
        <v>-1227.6082364098274</v>
      </c>
      <c r="J8" s="333"/>
    </row>
    <row r="9" spans="2:12" ht="17.25" thickTop="1" thickBot="1" x14ac:dyDescent="0.3">
      <c r="B9" s="253" t="s">
        <v>205</v>
      </c>
      <c r="C9" s="254"/>
      <c r="D9" s="255">
        <f>SUM(D6:D8)</f>
        <v>-531.2721136081625</v>
      </c>
      <c r="E9" s="255">
        <f>SUM(E6:E8)</f>
        <v>1108.5235842272159</v>
      </c>
      <c r="F9" s="255">
        <f t="shared" ref="F9:G9" si="0">SUM(F6:F8)</f>
        <v>4214.4862689861411</v>
      </c>
      <c r="G9" s="255">
        <f t="shared" si="0"/>
        <v>6467.2213477162377</v>
      </c>
      <c r="H9" s="256">
        <f>SUM(H6:H8)</f>
        <v>8762.292564044712</v>
      </c>
    </row>
    <row r="10" spans="2:12" ht="17.25" thickTop="1" thickBot="1" x14ac:dyDescent="0.3">
      <c r="B10" s="257" t="s">
        <v>206</v>
      </c>
      <c r="C10" s="258"/>
      <c r="D10" s="260">
        <f>-DEPRECIACIÓN!H29</f>
        <v>-68.11741348407557</v>
      </c>
      <c r="E10" s="260">
        <f>-DEPRECIACIÓN!I29</f>
        <v>-11.234661519371295</v>
      </c>
      <c r="F10" s="259"/>
      <c r="G10" s="260"/>
      <c r="H10" s="261"/>
    </row>
    <row r="11" spans="2:12" ht="16.5" thickBot="1" x14ac:dyDescent="0.3">
      <c r="B11" s="242" t="s">
        <v>207</v>
      </c>
      <c r="C11" s="246"/>
      <c r="D11" s="247">
        <f>-M39</f>
        <v>-45.350497368675029</v>
      </c>
      <c r="E11" s="247">
        <f t="shared" ref="E11:H11" si="1">-N39</f>
        <v>-37.480187266083426</v>
      </c>
      <c r="F11" s="247">
        <f t="shared" si="1"/>
        <v>-29.051085146207814</v>
      </c>
      <c r="G11" s="247">
        <f t="shared" si="1"/>
        <v>-20.023516775821037</v>
      </c>
      <c r="H11" s="248">
        <f t="shared" si="1"/>
        <v>-10.354991051136798</v>
      </c>
      <c r="L11" s="330"/>
    </row>
    <row r="12" spans="2:12" ht="15.75" x14ac:dyDescent="0.25">
      <c r="B12" s="242" t="s">
        <v>208</v>
      </c>
      <c r="C12" s="243"/>
      <c r="D12" s="262"/>
      <c r="E12" s="366">
        <f>-E38</f>
        <v>-48.203207992069792</v>
      </c>
      <c r="F12" s="262"/>
      <c r="G12" s="262"/>
      <c r="H12" s="263"/>
    </row>
    <row r="13" spans="2:12" ht="15.75" x14ac:dyDescent="0.25">
      <c r="B13" s="242" t="s">
        <v>209</v>
      </c>
      <c r="C13" s="246"/>
      <c r="D13" s="264"/>
      <c r="E13" s="247">
        <f>D16</f>
        <v>-644.74002446091311</v>
      </c>
      <c r="F13" s="264"/>
      <c r="G13" s="264"/>
      <c r="H13" s="265"/>
    </row>
    <row r="14" spans="2:12" ht="15.75" x14ac:dyDescent="0.25">
      <c r="B14" s="242" t="s">
        <v>210</v>
      </c>
      <c r="C14" s="243"/>
      <c r="D14" s="262"/>
      <c r="E14" s="262"/>
      <c r="F14" s="262"/>
      <c r="G14" s="262"/>
      <c r="H14" s="263"/>
    </row>
    <row r="15" spans="2:12" ht="16.5" thickBot="1" x14ac:dyDescent="0.3">
      <c r="B15" s="249" t="s">
        <v>211</v>
      </c>
      <c r="C15" s="266"/>
      <c r="D15" s="267"/>
      <c r="E15" s="267"/>
      <c r="F15" s="267"/>
      <c r="G15" s="267"/>
      <c r="H15" s="268"/>
    </row>
    <row r="16" spans="2:12" ht="17.25" thickTop="1" thickBot="1" x14ac:dyDescent="0.3">
      <c r="B16" s="253" t="s">
        <v>212</v>
      </c>
      <c r="C16" s="269"/>
      <c r="D16" s="270">
        <f>SUM(D9:D15)</f>
        <v>-644.74002446091311</v>
      </c>
      <c r="E16" s="270">
        <f>SUM(E9:E15)</f>
        <v>366.8655029887783</v>
      </c>
      <c r="F16" s="270">
        <f>SUM(F9:F15)</f>
        <v>4185.4351838399334</v>
      </c>
      <c r="G16" s="270">
        <f>SUM(G9:G15)</f>
        <v>6447.1978309404167</v>
      </c>
      <c r="H16" s="271">
        <f>SUM(H9:H15)</f>
        <v>8751.9375729935746</v>
      </c>
    </row>
    <row r="17" spans="2:12" ht="17.25" thickTop="1" thickBot="1" x14ac:dyDescent="0.3">
      <c r="B17" s="272" t="s">
        <v>213</v>
      </c>
      <c r="C17" s="273"/>
      <c r="D17" s="274"/>
      <c r="E17" s="274">
        <f>-E16*E4</f>
        <v>-91.716375747194576</v>
      </c>
      <c r="F17" s="274">
        <f t="shared" ref="F17:H17" si="2">-F16*F4</f>
        <v>-1046.3587959599834</v>
      </c>
      <c r="G17" s="274">
        <f t="shared" si="2"/>
        <v>-1611.7994577351042</v>
      </c>
      <c r="H17" s="275">
        <f t="shared" si="2"/>
        <v>-2187.9843932483936</v>
      </c>
    </row>
    <row r="18" spans="2:12" ht="17.25" thickTop="1" thickBot="1" x14ac:dyDescent="0.3">
      <c r="B18" s="253" t="s">
        <v>214</v>
      </c>
      <c r="C18" s="276"/>
      <c r="D18" s="277">
        <f>SUM(D16:D17)</f>
        <v>-644.74002446091311</v>
      </c>
      <c r="E18" s="277">
        <f t="shared" ref="E18:G18" si="3">SUM(E16:E17)</f>
        <v>275.14912724158376</v>
      </c>
      <c r="F18" s="277">
        <f t="shared" si="3"/>
        <v>3139.0763878799498</v>
      </c>
      <c r="G18" s="277">
        <f t="shared" si="3"/>
        <v>4835.398373205313</v>
      </c>
      <c r="H18" s="278">
        <f>SUM(H16:H17)</f>
        <v>6563.9531797451809</v>
      </c>
    </row>
    <row r="19" spans="2:12" ht="16.5" thickTop="1" x14ac:dyDescent="0.25">
      <c r="B19" s="257" t="s">
        <v>206</v>
      </c>
      <c r="C19" s="279"/>
      <c r="D19" s="281">
        <f>-D10</f>
        <v>68.11741348407557</v>
      </c>
      <c r="E19" s="281">
        <f>-E10</f>
        <v>11.234661519371295</v>
      </c>
      <c r="F19" s="280"/>
      <c r="G19" s="281"/>
      <c r="H19" s="282"/>
    </row>
    <row r="20" spans="2:12" ht="16.5" thickBot="1" x14ac:dyDescent="0.3">
      <c r="B20" s="242" t="s">
        <v>209</v>
      </c>
      <c r="C20" s="243"/>
      <c r="D20" s="262"/>
      <c r="E20" s="244">
        <f>-E13</f>
        <v>644.74002446091311</v>
      </c>
      <c r="F20" s="262"/>
      <c r="G20" s="262"/>
      <c r="H20" s="263"/>
    </row>
    <row r="21" spans="2:12" ht="16.5" thickBot="1" x14ac:dyDescent="0.3">
      <c r="B21" s="242" t="s">
        <v>211</v>
      </c>
      <c r="C21" s="246"/>
      <c r="D21" s="264"/>
      <c r="E21" s="264"/>
      <c r="F21" s="264"/>
      <c r="G21" s="264"/>
      <c r="H21" s="265"/>
      <c r="L21" s="330"/>
    </row>
    <row r="22" spans="2:12" ht="15.75" x14ac:dyDescent="0.25">
      <c r="B22" s="242" t="s">
        <v>215</v>
      </c>
      <c r="C22" s="243"/>
      <c r="D22" s="283">
        <f>-M40</f>
        <v>-110.84943806467049</v>
      </c>
      <c r="E22" s="283">
        <f t="shared" ref="E22:H22" si="4">-N40</f>
        <v>-118.71974816726211</v>
      </c>
      <c r="F22" s="283">
        <f t="shared" si="4"/>
        <v>-127.14885028713772</v>
      </c>
      <c r="G22" s="283">
        <f t="shared" si="4"/>
        <v>-136.17641865752449</v>
      </c>
      <c r="H22" s="284">
        <f t="shared" si="4"/>
        <v>-145.84494438220872</v>
      </c>
    </row>
    <row r="23" spans="2:12" ht="15.75" x14ac:dyDescent="0.25">
      <c r="B23" s="242" t="s">
        <v>216</v>
      </c>
      <c r="C23" s="246"/>
      <c r="D23" s="264"/>
      <c r="E23" s="367">
        <f>-D32</f>
        <v>-675</v>
      </c>
      <c r="F23" s="264"/>
      <c r="G23" s="264"/>
      <c r="H23" s="265"/>
    </row>
    <row r="24" spans="2:12" ht="15.75" x14ac:dyDescent="0.25">
      <c r="B24" s="242" t="s">
        <v>217</v>
      </c>
      <c r="C24" s="285">
        <f>-INVERSION!I8</f>
        <v>-144.09797325244728</v>
      </c>
      <c r="D24" s="262"/>
      <c r="E24" s="262"/>
      <c r="F24" s="262"/>
      <c r="G24" s="262"/>
      <c r="H24" s="263"/>
    </row>
    <row r="25" spans="2:12" ht="31.5" x14ac:dyDescent="0.25">
      <c r="B25" s="242" t="s">
        <v>218</v>
      </c>
      <c r="C25" s="286">
        <f>'PROYECTO PURO'!C25</f>
        <v>-142.03322762994623</v>
      </c>
      <c r="D25" s="264"/>
      <c r="E25" s="264"/>
      <c r="F25" s="264"/>
      <c r="G25" s="264"/>
      <c r="H25" s="265"/>
    </row>
    <row r="26" spans="2:12" ht="15.75" x14ac:dyDescent="0.25">
      <c r="B26" s="242" t="s">
        <v>219</v>
      </c>
      <c r="C26" s="287">
        <f>-INVERSION!I9</f>
        <v>-565.52133186267747</v>
      </c>
      <c r="D26" s="262"/>
      <c r="E26" s="262"/>
      <c r="F26" s="262"/>
      <c r="G26" s="262"/>
      <c r="H26" s="263"/>
    </row>
    <row r="27" spans="2:12" ht="15.75" x14ac:dyDescent="0.25">
      <c r="B27" s="242" t="s">
        <v>220</v>
      </c>
      <c r="C27" s="246"/>
      <c r="D27" s="264"/>
      <c r="E27" s="264"/>
      <c r="F27" s="264"/>
      <c r="G27" s="264"/>
      <c r="H27" s="265">
        <f>-C26</f>
        <v>565.52133186267747</v>
      </c>
    </row>
    <row r="28" spans="2:12" ht="15.75" x14ac:dyDescent="0.25">
      <c r="B28" s="242" t="s">
        <v>221</v>
      </c>
      <c r="C28" s="243"/>
      <c r="D28" s="262"/>
      <c r="E28" s="262"/>
      <c r="F28" s="262"/>
      <c r="G28" s="262"/>
      <c r="H28" s="263"/>
    </row>
    <row r="29" spans="2:12" ht="16.5" thickBot="1" x14ac:dyDescent="0.3">
      <c r="B29" s="249" t="s">
        <v>222</v>
      </c>
      <c r="C29" s="266"/>
      <c r="D29" s="288">
        <f>'RECUPERACIÓN DE IVA'!D25</f>
        <v>12.212284343030474</v>
      </c>
      <c r="E29" s="267"/>
      <c r="F29" s="267"/>
      <c r="G29" s="267"/>
      <c r="H29" s="268"/>
    </row>
    <row r="30" spans="2:12" ht="17.25" thickTop="1" thickBot="1" x14ac:dyDescent="0.3">
      <c r="B30" s="253" t="s">
        <v>223</v>
      </c>
      <c r="C30" s="289">
        <f>SUM(C18:C29)</f>
        <v>-851.65253274507097</v>
      </c>
      <c r="D30" s="290">
        <f>SUM(D18:D29)</f>
        <v>-675.25976469847762</v>
      </c>
      <c r="E30" s="290">
        <f>SUM(E18:E29)</f>
        <v>137.40406505460612</v>
      </c>
      <c r="F30" s="290">
        <f t="shared" ref="F30:G30" si="5">SUM(F18:F29)</f>
        <v>3011.9275375928123</v>
      </c>
      <c r="G30" s="290">
        <f t="shared" si="5"/>
        <v>4699.2219545477883</v>
      </c>
      <c r="H30" s="291">
        <f>SUM(H18:H29)</f>
        <v>6983.6295672256492</v>
      </c>
    </row>
    <row r="31" spans="2:12" ht="16.5" thickTop="1" x14ac:dyDescent="0.25">
      <c r="B31" s="257" t="s">
        <v>224</v>
      </c>
      <c r="C31" s="279">
        <f>C40</f>
        <v>638.73939955880326</v>
      </c>
      <c r="D31" s="292"/>
      <c r="E31" s="292"/>
      <c r="F31" s="292"/>
      <c r="G31" s="292"/>
      <c r="H31" s="293"/>
    </row>
    <row r="32" spans="2:12" ht="16.5" thickBot="1" x14ac:dyDescent="0.3">
      <c r="B32" s="249" t="s">
        <v>225</v>
      </c>
      <c r="C32" s="250"/>
      <c r="D32" s="294">
        <v>675</v>
      </c>
      <c r="E32" s="294"/>
      <c r="F32" s="294"/>
      <c r="G32" s="294"/>
      <c r="H32" s="295"/>
    </row>
    <row r="33" spans="2:22" ht="17.25" thickTop="1" thickBot="1" x14ac:dyDescent="0.3">
      <c r="B33" s="253" t="s">
        <v>226</v>
      </c>
      <c r="C33" s="296">
        <f>SUM(C30:C32)</f>
        <v>-212.91313318626771</v>
      </c>
      <c r="D33" s="297">
        <f>SUM(D30:D32)</f>
        <v>-0.25976469847762473</v>
      </c>
      <c r="E33" s="297">
        <f>SUM(E30:E32)</f>
        <v>137.40406505460612</v>
      </c>
      <c r="F33" s="297">
        <f>SUM(F30:F32)</f>
        <v>3011.9275375928123</v>
      </c>
      <c r="G33" s="297">
        <f t="shared" ref="G33:H33" si="6">SUM(G30:G32)</f>
        <v>4699.2219545477883</v>
      </c>
      <c r="H33" s="298">
        <f t="shared" si="6"/>
        <v>6983.6295672256492</v>
      </c>
    </row>
    <row r="34" spans="2:22" ht="33" thickTop="1" thickBot="1" x14ac:dyDescent="0.3">
      <c r="B34" s="272" t="s">
        <v>227</v>
      </c>
      <c r="C34" s="299">
        <f>C33</f>
        <v>-212.91313318626771</v>
      </c>
      <c r="D34" s="300">
        <f>D33/(1+$C$48)^D5</f>
        <v>-0.24380578153293281</v>
      </c>
      <c r="E34" s="300">
        <f t="shared" ref="E34:H34" si="7">E33/(1+$C$48)^E5</f>
        <v>121.03955537882071</v>
      </c>
      <c r="F34" s="300">
        <f t="shared" si="7"/>
        <v>2490.2108823356903</v>
      </c>
      <c r="G34" s="300">
        <f t="shared" si="7"/>
        <v>3646.5438036546875</v>
      </c>
      <c r="H34" s="301">
        <f t="shared" si="7"/>
        <v>5086.283237091051</v>
      </c>
    </row>
    <row r="35" spans="2:22" ht="33" thickTop="1" thickBot="1" x14ac:dyDescent="0.3">
      <c r="B35" s="302" t="s">
        <v>228</v>
      </c>
      <c r="C35" s="303">
        <f>C34</f>
        <v>-212.91313318626771</v>
      </c>
      <c r="D35" s="304">
        <f>C35+D34</f>
        <v>-213.15693896780064</v>
      </c>
      <c r="E35" s="304">
        <f>D35+E34</f>
        <v>-92.117383588979934</v>
      </c>
      <c r="F35" s="304">
        <f>E35+F34</f>
        <v>2398.0934987467103</v>
      </c>
      <c r="G35" s="304">
        <f>F35+G34</f>
        <v>6044.6373024013974</v>
      </c>
      <c r="H35" s="305">
        <f>G35+H34</f>
        <v>11130.920539492448</v>
      </c>
    </row>
    <row r="36" spans="2:22" ht="15.75" thickBot="1" x14ac:dyDescent="0.3">
      <c r="K36" s="130" t="s">
        <v>0</v>
      </c>
      <c r="L36" s="99" t="s">
        <v>258</v>
      </c>
      <c r="M36" s="99" t="s">
        <v>259</v>
      </c>
      <c r="N36" s="99" t="s">
        <v>260</v>
      </c>
      <c r="O36" s="99" t="s">
        <v>261</v>
      </c>
      <c r="P36" s="99" t="s">
        <v>262</v>
      </c>
      <c r="Q36" s="131" t="s">
        <v>263</v>
      </c>
      <c r="U36" t="s">
        <v>277</v>
      </c>
    </row>
    <row r="37" spans="2:22" ht="15.75" thickBot="1" x14ac:dyDescent="0.3">
      <c r="E37" s="24">
        <f>-$D$30*(($C$41*(1+$C$41)^1/((1+$C$41)^1-1)))</f>
        <v>723.20320799206979</v>
      </c>
      <c r="I37" s="330"/>
      <c r="K37" s="132" t="s">
        <v>264</v>
      </c>
      <c r="L37" s="133">
        <f>C40</f>
        <v>638.73939955880326</v>
      </c>
      <c r="M37" s="133">
        <f>M41</f>
        <v>527.88996149413276</v>
      </c>
      <c r="N37" s="133">
        <f t="shared" ref="N37:Q37" si="8">N41</f>
        <v>409.17021332687068</v>
      </c>
      <c r="O37" s="133">
        <f t="shared" si="8"/>
        <v>282.02136303973293</v>
      </c>
      <c r="P37" s="133">
        <f t="shared" si="8"/>
        <v>145.84494438220844</v>
      </c>
      <c r="Q37" s="134">
        <f t="shared" si="8"/>
        <v>-2.8421709430404007E-13</v>
      </c>
      <c r="T37" s="8" t="s">
        <v>8</v>
      </c>
      <c r="U37" s="331" t="s">
        <v>278</v>
      </c>
      <c r="V37" s="331" t="s">
        <v>279</v>
      </c>
    </row>
    <row r="38" spans="2:22" ht="15.75" thickBot="1" x14ac:dyDescent="0.3">
      <c r="E38" s="1">
        <f>E37-D32</f>
        <v>48.203207992069792</v>
      </c>
      <c r="K38" s="135" t="s">
        <v>266</v>
      </c>
      <c r="L38" s="136"/>
      <c r="M38" s="136">
        <f>$C$43</f>
        <v>156.19993543334553</v>
      </c>
      <c r="N38" s="136">
        <f t="shared" ref="N38:Q38" si="9">$C$43</f>
        <v>156.19993543334553</v>
      </c>
      <c r="O38" s="136">
        <f t="shared" si="9"/>
        <v>156.19993543334553</v>
      </c>
      <c r="P38" s="136">
        <f t="shared" si="9"/>
        <v>156.19993543334553</v>
      </c>
      <c r="Q38" s="137">
        <f t="shared" si="9"/>
        <v>156.19993543334553</v>
      </c>
      <c r="T38" s="8" t="s">
        <v>280</v>
      </c>
      <c r="U38" s="358">
        <v>7.0999999999999994E-2</v>
      </c>
      <c r="V38" s="358">
        <v>7.0999999999999994E-2</v>
      </c>
    </row>
    <row r="39" spans="2:22" ht="16.5" thickBot="1" x14ac:dyDescent="0.3">
      <c r="B39" s="316" t="s">
        <v>265</v>
      </c>
      <c r="C39" s="317">
        <v>0.75</v>
      </c>
      <c r="K39" s="132" t="s">
        <v>268</v>
      </c>
      <c r="L39" s="133"/>
      <c r="M39" s="133">
        <f>L37*$C$41</f>
        <v>45.350497368675029</v>
      </c>
      <c r="N39" s="133">
        <f t="shared" ref="N39:Q39" si="10">M37*$C$41</f>
        <v>37.480187266083426</v>
      </c>
      <c r="O39" s="133">
        <f>N37*$C$41</f>
        <v>29.051085146207814</v>
      </c>
      <c r="P39" s="133">
        <f t="shared" si="10"/>
        <v>20.023516775821037</v>
      </c>
      <c r="Q39" s="134">
        <f t="shared" si="10"/>
        <v>10.354991051136798</v>
      </c>
      <c r="T39" s="331" t="s">
        <v>277</v>
      </c>
      <c r="U39" s="10">
        <v>399</v>
      </c>
      <c r="V39" s="8">
        <v>599</v>
      </c>
    </row>
    <row r="40" spans="2:22" ht="16.5" thickBot="1" x14ac:dyDescent="0.3">
      <c r="B40" s="318" t="s">
        <v>267</v>
      </c>
      <c r="C40" s="319">
        <f>-C30*C39</f>
        <v>638.73939955880326</v>
      </c>
      <c r="K40" s="135" t="s">
        <v>270</v>
      </c>
      <c r="L40" s="136"/>
      <c r="M40" s="136">
        <f>M38-M39</f>
        <v>110.84943806467049</v>
      </c>
      <c r="N40" s="136">
        <f t="shared" ref="N40:Q40" si="11">N38-N39</f>
        <v>118.71974816726211</v>
      </c>
      <c r="O40" s="136">
        <f>O38-O39</f>
        <v>127.14885028713772</v>
      </c>
      <c r="P40" s="136">
        <f t="shared" si="11"/>
        <v>136.17641865752449</v>
      </c>
      <c r="Q40" s="137">
        <f t="shared" si="11"/>
        <v>145.84494438220872</v>
      </c>
      <c r="T40" s="8" t="s">
        <v>273</v>
      </c>
      <c r="U40" s="8">
        <v>97.6</v>
      </c>
      <c r="V40" s="8">
        <v>146.4</v>
      </c>
    </row>
    <row r="41" spans="2:22" ht="16.5" thickBot="1" x14ac:dyDescent="0.3">
      <c r="B41" s="318" t="s">
        <v>269</v>
      </c>
      <c r="C41" s="320">
        <v>7.0999999999999994E-2</v>
      </c>
      <c r="K41" s="138" t="s">
        <v>272</v>
      </c>
      <c r="L41" s="139"/>
      <c r="M41" s="139">
        <f>L37-M40</f>
        <v>527.88996149413276</v>
      </c>
      <c r="N41" s="139">
        <f t="shared" ref="N41:Q41" si="12">M37-N40</f>
        <v>409.17021332687068</v>
      </c>
      <c r="O41" s="139">
        <f>N37-O40</f>
        <v>282.02136303973293</v>
      </c>
      <c r="P41" s="139">
        <f t="shared" si="12"/>
        <v>145.84494438220844</v>
      </c>
      <c r="Q41" s="140">
        <f t="shared" si="12"/>
        <v>-2.8421709430404007E-13</v>
      </c>
      <c r="T41" s="8" t="s">
        <v>281</v>
      </c>
      <c r="U41" s="8">
        <f>U40*5</f>
        <v>488</v>
      </c>
      <c r="V41" s="8">
        <f>V40*5</f>
        <v>732</v>
      </c>
    </row>
    <row r="42" spans="2:22" ht="16.5" thickBot="1" x14ac:dyDescent="0.3">
      <c r="B42" s="318" t="s">
        <v>271</v>
      </c>
      <c r="C42" s="321">
        <v>5</v>
      </c>
      <c r="T42" s="331" t="s">
        <v>282</v>
      </c>
      <c r="U42" s="8">
        <v>5</v>
      </c>
      <c r="V42" s="8">
        <v>5</v>
      </c>
    </row>
    <row r="43" spans="2:22" ht="16.5" thickBot="1" x14ac:dyDescent="0.3">
      <c r="B43" s="318" t="s">
        <v>273</v>
      </c>
      <c r="C43" s="322">
        <f>$C$40*(($C$41*(1+$C$41)^$C$42/((1+$C$41)^$C$42-1)))</f>
        <v>156.19993543334553</v>
      </c>
      <c r="M43">
        <f>M38*5</f>
        <v>780.99967716672768</v>
      </c>
    </row>
    <row r="44" spans="2:22" ht="16.5" thickBot="1" x14ac:dyDescent="0.3">
      <c r="B44" s="323" t="s">
        <v>274</v>
      </c>
      <c r="C44" s="127">
        <f>100%-C39</f>
        <v>0.25</v>
      </c>
    </row>
    <row r="45" spans="2:22" ht="15.75" thickBot="1" x14ac:dyDescent="0.3">
      <c r="B45" s="36"/>
      <c r="C45" s="37"/>
      <c r="L45" s="141"/>
      <c r="M45" s="142" t="s">
        <v>237</v>
      </c>
      <c r="N45" s="141"/>
    </row>
    <row r="46" spans="2:22" ht="16.5" thickBot="1" x14ac:dyDescent="0.3">
      <c r="B46" s="324" t="s">
        <v>238</v>
      </c>
      <c r="C46" s="127">
        <f>C49+(C50-C49)*C51</f>
        <v>5.2080000000000001E-2</v>
      </c>
      <c r="L46" s="143" t="s">
        <v>239</v>
      </c>
      <c r="M46" s="143" t="s">
        <v>240</v>
      </c>
      <c r="N46" s="143" t="s">
        <v>241</v>
      </c>
    </row>
    <row r="47" spans="2:22" ht="16.5" thickBot="1" x14ac:dyDescent="0.3">
      <c r="B47" s="363" t="s">
        <v>243</v>
      </c>
      <c r="C47" s="364">
        <f>'PROYECTO PURO'!C49</f>
        <v>0.10208</v>
      </c>
      <c r="L47" s="144">
        <v>0.15</v>
      </c>
      <c r="M47" s="145">
        <v>10764.755583038304</v>
      </c>
      <c r="N47" s="146">
        <f t="shared" ref="N47:N53" si="13">(M47-$M$50)/$M$50</f>
        <v>-3.2896197143353449E-2</v>
      </c>
    </row>
    <row r="48" spans="2:22" ht="16.5" thickBot="1" x14ac:dyDescent="0.3">
      <c r="B48" s="325" t="s">
        <v>276</v>
      </c>
      <c r="C48" s="326">
        <f>C47*C44+(C41*C39*(1-C4))</f>
        <v>6.5457500000000002E-2</v>
      </c>
      <c r="E48" s="88"/>
      <c r="L48" s="144">
        <v>0.1</v>
      </c>
      <c r="M48" s="145">
        <v>10886.81056852302</v>
      </c>
      <c r="N48" s="146">
        <f t="shared" si="13"/>
        <v>-2.1930798095568912E-2</v>
      </c>
    </row>
    <row r="49" spans="2:16" ht="16.5" thickBot="1" x14ac:dyDescent="0.3">
      <c r="B49" s="325" t="s">
        <v>244</v>
      </c>
      <c r="C49" s="320">
        <f>'PROYECTO FINAN 50'!C49</f>
        <v>1.41E-2</v>
      </c>
      <c r="L49" s="144">
        <v>0.05</v>
      </c>
      <c r="M49" s="145">
        <v>11008.865554007732</v>
      </c>
      <c r="N49" s="146">
        <f t="shared" si="13"/>
        <v>-1.0965399047784702E-2</v>
      </c>
    </row>
    <row r="50" spans="2:16" ht="16.5" thickBot="1" x14ac:dyDescent="0.3">
      <c r="B50" s="325" t="s">
        <v>245</v>
      </c>
      <c r="C50" s="320">
        <f>'[1]FLUJO PURO 5'!C49</f>
        <v>5.6300000000000003E-2</v>
      </c>
      <c r="L50" s="144">
        <v>0</v>
      </c>
      <c r="M50" s="145">
        <f>C53</f>
        <v>11130.92053949245</v>
      </c>
      <c r="N50" s="146">
        <f t="shared" si="13"/>
        <v>0</v>
      </c>
    </row>
    <row r="51" spans="2:16" ht="16.5" thickBot="1" x14ac:dyDescent="0.3">
      <c r="B51" s="325" t="s">
        <v>246</v>
      </c>
      <c r="C51" s="321">
        <f>'PROYECTO FINAN 50'!C51</f>
        <v>0.9</v>
      </c>
      <c r="L51" s="144">
        <v>-0.05</v>
      </c>
      <c r="M51" s="145">
        <v>11252.975524977164</v>
      </c>
      <c r="N51" s="146">
        <f t="shared" si="13"/>
        <v>1.0965399047784374E-2</v>
      </c>
    </row>
    <row r="52" spans="2:16" ht="15.75" thickBot="1" x14ac:dyDescent="0.3">
      <c r="B52" s="36"/>
      <c r="C52" s="36"/>
      <c r="L52" s="144">
        <v>-0.1</v>
      </c>
      <c r="M52" s="145">
        <v>11375.03051046188</v>
      </c>
      <c r="N52" s="146">
        <f t="shared" si="13"/>
        <v>2.1930798095568912E-2</v>
      </c>
    </row>
    <row r="53" spans="2:16" ht="16.5" thickBot="1" x14ac:dyDescent="0.3">
      <c r="B53" s="325" t="s">
        <v>240</v>
      </c>
      <c r="C53" s="327">
        <f>NPV(C48,D33:H33)+C33</f>
        <v>11130.92053949245</v>
      </c>
      <c r="L53" s="144">
        <v>-0.15</v>
      </c>
      <c r="M53" s="145">
        <v>11497.085495946596</v>
      </c>
      <c r="N53" s="146">
        <f t="shared" si="13"/>
        <v>3.2896197143353449E-2</v>
      </c>
    </row>
    <row r="54" spans="2:16" ht="16.5" thickBot="1" x14ac:dyDescent="0.3">
      <c r="B54" s="325" t="s">
        <v>232</v>
      </c>
      <c r="C54" s="328">
        <f>IRR(C33:H33)</f>
        <v>2.0023308422854917</v>
      </c>
    </row>
    <row r="55" spans="2:16" ht="16.5" thickBot="1" x14ac:dyDescent="0.3">
      <c r="B55" s="325" t="s">
        <v>233</v>
      </c>
      <c r="C55" s="329">
        <v>3</v>
      </c>
      <c r="L55" s="11">
        <v>0.01</v>
      </c>
      <c r="M55" s="365">
        <v>11107</v>
      </c>
      <c r="N55" s="88">
        <v>-2.2000000000000001E-3</v>
      </c>
    </row>
    <row r="57" spans="2:16" ht="15.75" thickBot="1" x14ac:dyDescent="0.3"/>
    <row r="58" spans="2:16" ht="15.75" thickBot="1" x14ac:dyDescent="0.3">
      <c r="B58" s="152" t="s">
        <v>247</v>
      </c>
      <c r="C58" s="153">
        <v>0</v>
      </c>
    </row>
    <row r="59" spans="2:16" ht="15.75" thickBot="1" x14ac:dyDescent="0.3">
      <c r="B59" s="152" t="s">
        <v>248</v>
      </c>
      <c r="C59" s="153">
        <v>0</v>
      </c>
    </row>
    <row r="60" spans="2:16" ht="15.75" thickBot="1" x14ac:dyDescent="0.3">
      <c r="B60" s="152" t="s">
        <v>251</v>
      </c>
      <c r="C60" s="153">
        <v>0</v>
      </c>
    </row>
    <row r="61" spans="2:16" ht="15.75" thickBot="1" x14ac:dyDescent="0.3">
      <c r="B61" s="152" t="s">
        <v>252</v>
      </c>
      <c r="C61" s="153">
        <v>0</v>
      </c>
    </row>
    <row r="62" spans="2:16" ht="15.75" thickBot="1" x14ac:dyDescent="0.3">
      <c r="B62" s="154" t="s">
        <v>254</v>
      </c>
      <c r="C62" s="153">
        <v>0</v>
      </c>
      <c r="M62" s="147" t="s">
        <v>249</v>
      </c>
      <c r="O62" s="148" t="s">
        <v>187</v>
      </c>
      <c r="P62" s="147" t="s">
        <v>250</v>
      </c>
    </row>
    <row r="63" spans="2:16" x14ac:dyDescent="0.25">
      <c r="M63" s="151">
        <f>INGRESOS!C12</f>
        <v>0.83</v>
      </c>
      <c r="O63" s="148"/>
      <c r="P63" s="149">
        <f>GASTOS!T31</f>
        <v>595.00172618226952</v>
      </c>
    </row>
    <row r="64" spans="2:16" x14ac:dyDescent="0.25">
      <c r="L64" s="147" t="s">
        <v>253</v>
      </c>
      <c r="M64" s="150">
        <f>C58</f>
        <v>0</v>
      </c>
      <c r="O64" s="147" t="s">
        <v>253</v>
      </c>
      <c r="P64" s="150">
        <f>C60</f>
        <v>0</v>
      </c>
    </row>
    <row r="65" spans="2:16" x14ac:dyDescent="0.25">
      <c r="L65" s="147" t="s">
        <v>255</v>
      </c>
      <c r="M65" s="148"/>
      <c r="O65" s="147" t="s">
        <v>255</v>
      </c>
      <c r="P65" s="148"/>
    </row>
    <row r="66" spans="2:16" x14ac:dyDescent="0.25">
      <c r="L66" s="147" t="s">
        <v>110</v>
      </c>
      <c r="M66" s="151">
        <f>M63*(1+C58)</f>
        <v>0.83</v>
      </c>
      <c r="O66" s="147" t="s">
        <v>110</v>
      </c>
      <c r="P66" s="149">
        <f>P63*(1+C60)</f>
        <v>595.00172618226952</v>
      </c>
    </row>
    <row r="70" spans="2:16" ht="15.75" x14ac:dyDescent="0.25">
      <c r="B70" s="356" t="s">
        <v>283</v>
      </c>
      <c r="C70" s="357" t="s">
        <v>172</v>
      </c>
    </row>
    <row r="71" spans="2:16" ht="15.75" x14ac:dyDescent="0.25">
      <c r="B71" s="332" t="s">
        <v>238</v>
      </c>
      <c r="C71" s="353">
        <v>5.7216200000000002E-2</v>
      </c>
    </row>
    <row r="72" spans="2:16" ht="15.75" x14ac:dyDescent="0.25">
      <c r="B72" s="332" t="s">
        <v>284</v>
      </c>
      <c r="C72" s="353">
        <v>5.5199999999999999E-2</v>
      </c>
    </row>
    <row r="73" spans="2:16" ht="15.75" x14ac:dyDescent="0.25">
      <c r="B73" s="332" t="s">
        <v>285</v>
      </c>
      <c r="C73" s="354">
        <v>5.4241549999999993E-2</v>
      </c>
    </row>
    <row r="74" spans="2:16" ht="15.75" x14ac:dyDescent="0.25">
      <c r="B74" s="332" t="s">
        <v>244</v>
      </c>
      <c r="C74" s="353">
        <v>1.0489999999999999E-2</v>
      </c>
    </row>
    <row r="75" spans="2:16" ht="15.75" x14ac:dyDescent="0.25">
      <c r="B75" s="332" t="s">
        <v>245</v>
      </c>
      <c r="C75" s="353">
        <v>5.6300000000000003E-2</v>
      </c>
    </row>
    <row r="76" spans="2:16" ht="15.75" x14ac:dyDescent="0.25">
      <c r="B76" s="332" t="s">
        <v>246</v>
      </c>
      <c r="C76" s="355">
        <v>1.02</v>
      </c>
    </row>
    <row r="80" spans="2:16" x14ac:dyDescent="0.25">
      <c r="B80" s="48" t="s">
        <v>206</v>
      </c>
      <c r="C80" s="48" t="s">
        <v>154</v>
      </c>
      <c r="D80" s="48" t="s">
        <v>155</v>
      </c>
    </row>
    <row r="81" spans="2:4" x14ac:dyDescent="0.25">
      <c r="B81" t="s">
        <v>286</v>
      </c>
      <c r="C81" s="1">
        <v>68.11741348407557</v>
      </c>
      <c r="D81" s="1">
        <v>11.234661519371295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P46"/>
  <sheetViews>
    <sheetView topLeftCell="A4" workbookViewId="0">
      <selection activeCell="I47" sqref="I47"/>
    </sheetView>
  </sheetViews>
  <sheetFormatPr baseColWidth="10" defaultColWidth="11.42578125" defaultRowHeight="15" x14ac:dyDescent="0.25"/>
  <cols>
    <col min="2" max="2" width="17.42578125" bestFit="1" customWidth="1"/>
    <col min="3" max="3" width="13.7109375" customWidth="1"/>
    <col min="8" max="8" width="17.140625" customWidth="1"/>
  </cols>
  <sheetData>
    <row r="4" spans="2:16" x14ac:dyDescent="0.25">
      <c r="B4" s="155"/>
      <c r="C4" s="155" t="s">
        <v>287</v>
      </c>
      <c r="D4" s="155"/>
      <c r="E4" s="8"/>
      <c r="F4" s="8"/>
      <c r="G4" s="8"/>
      <c r="H4" s="155"/>
      <c r="I4" s="155" t="s">
        <v>288</v>
      </c>
      <c r="J4" s="155"/>
      <c r="K4" s="8"/>
      <c r="L4" s="8"/>
      <c r="M4" s="8"/>
      <c r="N4" s="335"/>
      <c r="O4" s="335" t="s">
        <v>237</v>
      </c>
      <c r="P4" s="335"/>
    </row>
    <row r="5" spans="2:16" x14ac:dyDescent="0.25">
      <c r="B5" s="341" t="s">
        <v>289</v>
      </c>
      <c r="C5" s="404" t="s">
        <v>240</v>
      </c>
      <c r="D5" s="404" t="s">
        <v>241</v>
      </c>
      <c r="E5" s="8"/>
      <c r="F5" s="8"/>
      <c r="G5" s="8"/>
      <c r="H5" s="341" t="s">
        <v>289</v>
      </c>
      <c r="I5" s="404" t="s">
        <v>240</v>
      </c>
      <c r="J5" s="404" t="s">
        <v>241</v>
      </c>
      <c r="K5" s="8"/>
      <c r="L5" s="8"/>
      <c r="M5" s="8"/>
      <c r="N5" s="337" t="s">
        <v>239</v>
      </c>
      <c r="O5" s="337" t="s">
        <v>240</v>
      </c>
      <c r="P5" s="337" t="s">
        <v>241</v>
      </c>
    </row>
    <row r="6" spans="2:16" x14ac:dyDescent="0.25">
      <c r="B6" s="403">
        <v>0.15</v>
      </c>
      <c r="C6" s="407">
        <v>13717.043679107361</v>
      </c>
      <c r="D6" s="408">
        <v>0.23233686112836388</v>
      </c>
      <c r="E6" s="8"/>
      <c r="F6" s="8"/>
      <c r="G6" s="8"/>
      <c r="H6" s="403">
        <v>0.15</v>
      </c>
      <c r="I6" s="407">
        <v>10764.755583038304</v>
      </c>
      <c r="J6" s="408">
        <v>-3.2896197143353449E-2</v>
      </c>
      <c r="K6" s="8"/>
      <c r="L6" s="8"/>
      <c r="M6" s="8"/>
      <c r="N6" s="338">
        <v>0.15</v>
      </c>
      <c r="O6" s="340">
        <v>11312.930568833721</v>
      </c>
      <c r="P6" s="339">
        <v>-1.9858928038387853E-2</v>
      </c>
    </row>
    <row r="7" spans="2:16" x14ac:dyDescent="0.25">
      <c r="B7" s="403">
        <v>0.1</v>
      </c>
      <c r="C7" s="407">
        <v>12855.002632569061</v>
      </c>
      <c r="D7" s="408">
        <v>0.15489124075224298</v>
      </c>
      <c r="E7" s="8"/>
      <c r="F7" s="8"/>
      <c r="G7" s="8"/>
      <c r="H7" s="403">
        <v>0.1</v>
      </c>
      <c r="I7" s="407">
        <v>10886.81056852302</v>
      </c>
      <c r="J7" s="408">
        <v>-2.1930798095568912E-2</v>
      </c>
      <c r="K7" s="8"/>
      <c r="L7" s="8"/>
      <c r="M7" s="8"/>
      <c r="N7" s="338">
        <v>0.1</v>
      </c>
      <c r="O7" s="340">
        <v>11389.335445810637</v>
      </c>
      <c r="P7" s="339">
        <v>-1.3239285358925183E-2</v>
      </c>
    </row>
    <row r="8" spans="2:16" x14ac:dyDescent="0.25">
      <c r="B8" s="403">
        <v>0.05</v>
      </c>
      <c r="C8" s="407">
        <v>11992.961586030753</v>
      </c>
      <c r="D8" s="408">
        <v>7.7445620376121238E-2</v>
      </c>
      <c r="E8" s="8"/>
      <c r="F8" s="8"/>
      <c r="G8" s="8"/>
      <c r="H8" s="403">
        <v>0.05</v>
      </c>
      <c r="I8" s="407">
        <v>11008.865554007732</v>
      </c>
      <c r="J8" s="408">
        <v>-1.0965399047784702E-2</v>
      </c>
      <c r="K8" s="8"/>
      <c r="L8" s="8"/>
      <c r="M8" s="8"/>
      <c r="N8" s="338">
        <v>0.05</v>
      </c>
      <c r="O8" s="340">
        <v>11465.740322787551</v>
      </c>
      <c r="P8" s="339">
        <v>-6.6196426794626704E-3</v>
      </c>
    </row>
    <row r="9" spans="2:16" x14ac:dyDescent="0.25">
      <c r="B9" s="403">
        <v>0</v>
      </c>
      <c r="C9" s="407">
        <v>11130.92053949245</v>
      </c>
      <c r="D9" s="408">
        <v>0</v>
      </c>
      <c r="E9" s="8"/>
      <c r="F9" s="8"/>
      <c r="G9" s="8"/>
      <c r="H9" s="403">
        <v>0</v>
      </c>
      <c r="I9" s="407">
        <v>11130.92053949245</v>
      </c>
      <c r="J9" s="408">
        <v>0</v>
      </c>
      <c r="K9" s="8"/>
      <c r="L9" s="8"/>
      <c r="M9" s="8"/>
      <c r="N9" s="338">
        <v>0</v>
      </c>
      <c r="O9" s="340">
        <v>11542.145199764467</v>
      </c>
      <c r="P9" s="339">
        <v>0</v>
      </c>
    </row>
    <row r="10" spans="2:16" x14ac:dyDescent="0.25">
      <c r="B10" s="403">
        <v>-0.05</v>
      </c>
      <c r="C10" s="407">
        <v>10267.811621172979</v>
      </c>
      <c r="D10" s="408">
        <v>-7.7541557794538626E-2</v>
      </c>
      <c r="E10" s="8"/>
      <c r="F10" s="8"/>
      <c r="G10" s="8"/>
      <c r="H10" s="403">
        <v>-0.05</v>
      </c>
      <c r="I10" s="407">
        <v>11252.975524977164</v>
      </c>
      <c r="J10" s="408">
        <v>1.0965399047784374E-2</v>
      </c>
      <c r="K10" s="8"/>
      <c r="L10" s="8"/>
      <c r="M10" s="8"/>
      <c r="N10" s="338">
        <v>-0.05</v>
      </c>
      <c r="O10" s="340">
        <v>11618.550076741383</v>
      </c>
      <c r="P10" s="339">
        <v>6.6196426794626704E-3</v>
      </c>
    </row>
    <row r="11" spans="2:16" x14ac:dyDescent="0.25">
      <c r="B11" s="403">
        <v>-0.1</v>
      </c>
      <c r="C11" s="407">
        <v>9401.9457205775761</v>
      </c>
      <c r="D11" s="408">
        <v>-0.155330802405828</v>
      </c>
      <c r="E11" s="8"/>
      <c r="F11" s="8"/>
      <c r="G11" s="8"/>
      <c r="H11" s="403">
        <v>-0.1</v>
      </c>
      <c r="I11" s="407">
        <v>11375.03051046188</v>
      </c>
      <c r="J11" s="408">
        <v>2.1930798095568912E-2</v>
      </c>
      <c r="K11" s="8"/>
      <c r="L11" s="8"/>
      <c r="M11" s="8"/>
      <c r="N11" s="338">
        <v>-0.1</v>
      </c>
      <c r="O11" s="340">
        <v>11694.954953718296</v>
      </c>
      <c r="P11" s="339">
        <v>1.3239285358925025E-2</v>
      </c>
    </row>
    <row r="12" spans="2:16" x14ac:dyDescent="0.25">
      <c r="B12" s="403">
        <v>-0.15</v>
      </c>
      <c r="C12" s="407">
        <v>8535.3619191528032</v>
      </c>
      <c r="D12" s="408">
        <v>-0.23318454310500358</v>
      </c>
      <c r="E12" s="8"/>
      <c r="F12" s="8"/>
      <c r="G12" s="8"/>
      <c r="H12" s="403">
        <v>-0.15</v>
      </c>
      <c r="I12" s="407">
        <v>11497.085495946596</v>
      </c>
      <c r="J12" s="408">
        <v>3.2896197143353449E-2</v>
      </c>
      <c r="K12" s="8"/>
      <c r="L12" s="8"/>
      <c r="M12" s="8"/>
      <c r="N12" s="338">
        <v>-0.15</v>
      </c>
      <c r="O12" s="340">
        <v>11771.359830695214</v>
      </c>
      <c r="P12" s="339">
        <v>1.9858928038387853E-2</v>
      </c>
    </row>
    <row r="13" spans="2:16" ht="15.75" thickBot="1" x14ac:dyDescent="0.3">
      <c r="B13" s="342"/>
      <c r="C13" s="405"/>
      <c r="D13" s="406"/>
      <c r="E13" s="8"/>
      <c r="F13" s="8"/>
      <c r="G13" s="8"/>
      <c r="H13" s="8"/>
      <c r="I13" s="10"/>
      <c r="J13" s="8"/>
      <c r="K13" s="8"/>
      <c r="L13" s="8"/>
      <c r="M13" s="8"/>
      <c r="N13" s="8"/>
      <c r="O13" s="10"/>
      <c r="P13" s="8"/>
    </row>
    <row r="14" spans="2:16" ht="15.75" thickBot="1" x14ac:dyDescent="0.3">
      <c r="B14" s="343">
        <v>0.01</v>
      </c>
      <c r="C14" s="344">
        <v>11303</v>
      </c>
      <c r="D14" s="345">
        <v>1.55E-2</v>
      </c>
      <c r="E14" s="8"/>
      <c r="F14" s="8"/>
      <c r="G14" s="8"/>
      <c r="H14" s="343">
        <v>0.01</v>
      </c>
      <c r="I14" s="344">
        <v>11107</v>
      </c>
      <c r="J14" s="345">
        <v>2.2000000000000001E-3</v>
      </c>
      <c r="K14" s="8"/>
      <c r="L14" s="8"/>
      <c r="M14" s="8"/>
      <c r="N14" s="338">
        <v>0.01</v>
      </c>
      <c r="O14" s="340">
        <v>11526.864224369083</v>
      </c>
      <c r="P14" s="339">
        <v>-1.3239285358926287E-3</v>
      </c>
    </row>
    <row r="16" spans="2:16" x14ac:dyDescent="0.25">
      <c r="B16" t="s">
        <v>290</v>
      </c>
      <c r="C16" s="147" t="s">
        <v>249</v>
      </c>
      <c r="H16" s="148" t="s">
        <v>187</v>
      </c>
      <c r="I16" s="147" t="s">
        <v>250</v>
      </c>
      <c r="N16" s="148" t="s">
        <v>256</v>
      </c>
      <c r="O16" s="147" t="s">
        <v>250</v>
      </c>
    </row>
    <row r="17" spans="2:15" x14ac:dyDescent="0.25">
      <c r="C17" s="151">
        <v>0.83</v>
      </c>
      <c r="H17" s="148"/>
      <c r="I17" s="149">
        <v>595.00172618226952</v>
      </c>
      <c r="N17" s="148"/>
      <c r="O17" s="149">
        <v>441.74824210671449</v>
      </c>
    </row>
    <row r="18" spans="2:15" x14ac:dyDescent="0.25">
      <c r="B18" s="147" t="s">
        <v>253</v>
      </c>
      <c r="C18" s="150">
        <v>0</v>
      </c>
      <c r="H18" s="147" t="s">
        <v>253</v>
      </c>
      <c r="I18" s="150">
        <v>0</v>
      </c>
      <c r="N18" s="147" t="s">
        <v>253</v>
      </c>
      <c r="O18" s="150">
        <v>0</v>
      </c>
    </row>
    <row r="19" spans="2:15" x14ac:dyDescent="0.25">
      <c r="B19" s="147" t="s">
        <v>255</v>
      </c>
      <c r="C19" s="148"/>
      <c r="H19" s="147" t="s">
        <v>255</v>
      </c>
      <c r="I19" s="148"/>
      <c r="N19" s="147" t="s">
        <v>255</v>
      </c>
      <c r="O19" s="148"/>
    </row>
    <row r="20" spans="2:15" x14ac:dyDescent="0.25">
      <c r="B20" s="147" t="s">
        <v>110</v>
      </c>
      <c r="C20" s="151">
        <v>0.83</v>
      </c>
      <c r="H20" s="147" t="s">
        <v>110</v>
      </c>
      <c r="I20" s="149">
        <v>595.00172618226952</v>
      </c>
      <c r="N20" s="147" t="s">
        <v>110</v>
      </c>
      <c r="O20" s="149">
        <v>441.74824210671449</v>
      </c>
    </row>
    <row r="23" spans="2:15" x14ac:dyDescent="0.25">
      <c r="B23" s="349" t="s">
        <v>240</v>
      </c>
      <c r="C23" s="349" t="s">
        <v>172</v>
      </c>
      <c r="D23" s="350"/>
      <c r="E23" s="350"/>
      <c r="F23" s="350"/>
      <c r="G23" s="350"/>
      <c r="H23" s="349" t="s">
        <v>240</v>
      </c>
      <c r="I23" s="349" t="s">
        <v>172</v>
      </c>
      <c r="N23" s="336" t="s">
        <v>240</v>
      </c>
      <c r="O23" s="148" t="s">
        <v>172</v>
      </c>
    </row>
    <row r="24" spans="2:15" x14ac:dyDescent="0.25">
      <c r="B24" s="346">
        <v>0</v>
      </c>
      <c r="C24" s="347">
        <f>-11129/17296</f>
        <v>-0.64344357076780756</v>
      </c>
      <c r="H24" s="346">
        <v>0</v>
      </c>
      <c r="I24" s="347">
        <f>11131/2441.1</f>
        <v>4.5598295850231452</v>
      </c>
      <c r="N24" s="148">
        <v>0</v>
      </c>
      <c r="O24" s="148">
        <f>11542/1528.1</f>
        <v>7.553170604018062</v>
      </c>
    </row>
    <row r="25" spans="2:15" x14ac:dyDescent="0.25">
      <c r="B25" s="346" t="s">
        <v>172</v>
      </c>
      <c r="C25" s="348">
        <f>C24*100%</f>
        <v>-0.64344357076780756</v>
      </c>
      <c r="H25" s="346" t="s">
        <v>172</v>
      </c>
      <c r="I25" s="348">
        <f>I24*100%</f>
        <v>4.5598295850231452</v>
      </c>
      <c r="N25" s="148" t="s">
        <v>172</v>
      </c>
      <c r="O25" s="144">
        <f>O24*100%</f>
        <v>7.553170604018062</v>
      </c>
    </row>
    <row r="45" spans="2:9" x14ac:dyDescent="0.25">
      <c r="B45" s="349" t="s">
        <v>240</v>
      </c>
      <c r="C45" s="349" t="s">
        <v>172</v>
      </c>
      <c r="H45" s="349" t="s">
        <v>240</v>
      </c>
      <c r="I45" s="349" t="s">
        <v>172</v>
      </c>
    </row>
    <row r="46" spans="2:9" x14ac:dyDescent="0.25">
      <c r="B46" s="346">
        <v>0</v>
      </c>
      <c r="C46" s="351">
        <v>-0.67</v>
      </c>
      <c r="H46" s="346">
        <v>0</v>
      </c>
      <c r="I46" s="348">
        <v>4.5599999999999996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65"/>
  <sheetViews>
    <sheetView topLeftCell="B70" zoomScale="97" workbookViewId="0">
      <selection activeCell="M16" sqref="M16"/>
    </sheetView>
  </sheetViews>
  <sheetFormatPr baseColWidth="10" defaultColWidth="11.42578125" defaultRowHeight="15" x14ac:dyDescent="0.25"/>
  <cols>
    <col min="1" max="1" width="16.28515625" customWidth="1"/>
    <col min="2" max="2" width="37.28515625" bestFit="1" customWidth="1"/>
    <col min="3" max="3" width="12" bestFit="1" customWidth="1"/>
    <col min="4" max="4" width="12.85546875" bestFit="1" customWidth="1"/>
    <col min="7" max="7" width="30" bestFit="1" customWidth="1"/>
    <col min="8" max="8" width="13" bestFit="1" customWidth="1"/>
  </cols>
  <sheetData>
    <row r="2" spans="1:9" x14ac:dyDescent="0.25">
      <c r="C2" t="s">
        <v>4</v>
      </c>
      <c r="D2" s="52">
        <v>36265</v>
      </c>
    </row>
    <row r="3" spans="1:9" x14ac:dyDescent="0.25">
      <c r="A3" s="12" t="s">
        <v>5</v>
      </c>
    </row>
    <row r="6" spans="1:9" x14ac:dyDescent="0.25">
      <c r="B6" t="s">
        <v>6</v>
      </c>
      <c r="G6" t="s">
        <v>7</v>
      </c>
    </row>
    <row r="7" spans="1:9" x14ac:dyDescent="0.25">
      <c r="B7" s="8" t="s">
        <v>8</v>
      </c>
      <c r="C7" s="8" t="s">
        <v>9</v>
      </c>
      <c r="D7" s="8" t="s">
        <v>10</v>
      </c>
      <c r="G7" s="8" t="s">
        <v>8</v>
      </c>
      <c r="H7" s="8" t="s">
        <v>9</v>
      </c>
      <c r="I7" s="8" t="s">
        <v>11</v>
      </c>
    </row>
    <row r="8" spans="1:9" x14ac:dyDescent="0.25">
      <c r="B8" s="8" t="s">
        <v>12</v>
      </c>
      <c r="C8" s="19">
        <f>E65</f>
        <v>1544215</v>
      </c>
      <c r="D8" s="9">
        <f>Tabla24[[#This Row],[Valor $]]/$D$2</f>
        <v>42.581414587067421</v>
      </c>
      <c r="G8" s="8" t="s">
        <v>13</v>
      </c>
      <c r="H8" s="19">
        <f>C11+C19</f>
        <v>5225713</v>
      </c>
      <c r="I8" s="110">
        <f t="shared" ref="I8" si="0">D11+D19</f>
        <v>144.09797325244728</v>
      </c>
    </row>
    <row r="9" spans="1:9" x14ac:dyDescent="0.25">
      <c r="B9" s="8" t="s">
        <v>14</v>
      </c>
      <c r="C9" s="19">
        <f>D39</f>
        <v>829850</v>
      </c>
      <c r="D9" s="9">
        <f>Tabla24[[#This Row],[Valor $]]/$D$2</f>
        <v>22.882944988280713</v>
      </c>
      <c r="G9" s="8" t="s">
        <v>15</v>
      </c>
      <c r="H9" s="19">
        <f>C23</f>
        <v>20508631.099999998</v>
      </c>
      <c r="I9" s="110">
        <f>D23</f>
        <v>565.52133186267747</v>
      </c>
    </row>
    <row r="10" spans="1:9" x14ac:dyDescent="0.25">
      <c r="B10" s="8" t="s">
        <v>16</v>
      </c>
      <c r="C10" s="19">
        <f>E52</f>
        <v>491648</v>
      </c>
      <c r="D10" s="9">
        <f>Tabla24[[#This Row],[Valor $]]/$D$2</f>
        <v>13.557093616434578</v>
      </c>
      <c r="G10" s="8" t="s">
        <v>17</v>
      </c>
      <c r="H10" s="19">
        <f>H24</f>
        <v>3650835</v>
      </c>
      <c r="I10" s="110">
        <f>I24</f>
        <v>100.67103267613402</v>
      </c>
    </row>
    <row r="11" spans="1:9" x14ac:dyDescent="0.25">
      <c r="B11" s="27" t="s">
        <v>18</v>
      </c>
      <c r="C11" s="30">
        <f>SUM(C8:C10)</f>
        <v>2865713</v>
      </c>
      <c r="D11" s="31">
        <f>Tabla24[[#This Row],[Valor $]]/$D$2</f>
        <v>79.021453191782712</v>
      </c>
      <c r="G11" s="8" t="s">
        <v>19</v>
      </c>
      <c r="H11" s="89">
        <f>H15*5%</f>
        <v>1500000</v>
      </c>
      <c r="I11" s="10">
        <f>Tabla52[[#This Row],[Valor $]]/D2</f>
        <v>41.362194953812214</v>
      </c>
    </row>
    <row r="12" spans="1:9" x14ac:dyDescent="0.25">
      <c r="G12" s="27" t="s">
        <v>18</v>
      </c>
      <c r="H12" s="30">
        <f>SUM(H8:H10)</f>
        <v>29385179.099999998</v>
      </c>
      <c r="I12" s="54">
        <f>SUM(I8:I10)</f>
        <v>810.29033779125871</v>
      </c>
    </row>
    <row r="14" spans="1:9" x14ac:dyDescent="0.25">
      <c r="B14" t="s">
        <v>20</v>
      </c>
      <c r="G14" t="s">
        <v>21</v>
      </c>
      <c r="H14" s="21">
        <f>H12*5/1000</f>
        <v>146925.89550000001</v>
      </c>
    </row>
    <row r="15" spans="1:9" x14ac:dyDescent="0.25">
      <c r="B15" s="8" t="s">
        <v>8</v>
      </c>
      <c r="C15" s="8" t="s">
        <v>9</v>
      </c>
      <c r="D15" s="8" t="s">
        <v>11</v>
      </c>
      <c r="H15">
        <v>30000000</v>
      </c>
    </row>
    <row r="16" spans="1:9" x14ac:dyDescent="0.25">
      <c r="B16" s="8" t="s">
        <v>22</v>
      </c>
      <c r="C16" s="19">
        <f>160*6000</f>
        <v>960000</v>
      </c>
      <c r="D16" s="10">
        <f>Tabla53[[#This Row],[Valor $]]/$D$2</f>
        <v>26.471804770439817</v>
      </c>
    </row>
    <row r="17" spans="2:9" x14ac:dyDescent="0.25">
      <c r="B17" s="8" t="s">
        <v>23</v>
      </c>
      <c r="C17" s="19">
        <v>200000</v>
      </c>
      <c r="D17" s="10">
        <f>Tabla53[[#This Row],[Valor $]]/$D$2</f>
        <v>5.514959327174962</v>
      </c>
    </row>
    <row r="18" spans="2:9" x14ac:dyDescent="0.25">
      <c r="B18" s="8" t="s">
        <v>24</v>
      </c>
      <c r="C18" s="19">
        <v>1200000</v>
      </c>
      <c r="D18" s="10">
        <f>Tabla53[[#This Row],[Valor $]]/$D$2</f>
        <v>33.089755963049775</v>
      </c>
      <c r="G18" t="s">
        <v>25</v>
      </c>
    </row>
    <row r="19" spans="2:9" x14ac:dyDescent="0.25">
      <c r="B19" s="27" t="s">
        <v>18</v>
      </c>
      <c r="C19" s="30">
        <f>SUM(C16:C18)</f>
        <v>2360000</v>
      </c>
      <c r="D19" s="51">
        <f>Tabla53[[#This Row],[Valor $]]/$D$2</f>
        <v>65.076520060664549</v>
      </c>
      <c r="G19" s="8" t="s">
        <v>8</v>
      </c>
      <c r="H19" s="8" t="s">
        <v>9</v>
      </c>
      <c r="I19" s="8" t="s">
        <v>26</v>
      </c>
    </row>
    <row r="20" spans="2:9" x14ac:dyDescent="0.25">
      <c r="G20" s="8" t="s">
        <v>27</v>
      </c>
      <c r="H20" s="19">
        <v>4000</v>
      </c>
      <c r="I20" s="9">
        <f>Tabla11[[#This Row],[Valor $]]/$D$2</f>
        <v>0.11029918654349924</v>
      </c>
    </row>
    <row r="21" spans="2:9" x14ac:dyDescent="0.25">
      <c r="G21" s="8" t="s">
        <v>28</v>
      </c>
      <c r="H21" s="89">
        <v>146835</v>
      </c>
      <c r="I21" s="9">
        <f>Tabla11[[#This Row],[Valor $]]/$D$2</f>
        <v>4.0489452640286778</v>
      </c>
    </row>
    <row r="22" spans="2:9" x14ac:dyDescent="0.25">
      <c r="B22" t="s">
        <v>29</v>
      </c>
      <c r="C22" s="1" t="s">
        <v>9</v>
      </c>
      <c r="D22" t="s">
        <v>11</v>
      </c>
      <c r="G22" s="8" t="s">
        <v>30</v>
      </c>
      <c r="H22" s="19">
        <v>500000</v>
      </c>
      <c r="I22" s="9">
        <f>Tabla11[[#This Row],[Valor $]]/$D$2</f>
        <v>13.787398317937406</v>
      </c>
    </row>
    <row r="23" spans="2:9" x14ac:dyDescent="0.25">
      <c r="B23" s="53" t="s">
        <v>15</v>
      </c>
      <c r="C23" s="163">
        <f>D23*D2</f>
        <v>20508631.099999998</v>
      </c>
      <c r="D23" s="164">
        <f>-'CAPITAL DE TRABAJO'!C14</f>
        <v>565.52133186267747</v>
      </c>
      <c r="G23" s="8" t="s">
        <v>31</v>
      </c>
      <c r="H23" s="19">
        <v>3000000</v>
      </c>
      <c r="I23" s="9">
        <f>Tabla11[[#This Row],[Valor $]]/$D$2</f>
        <v>82.724389907624428</v>
      </c>
    </row>
    <row r="24" spans="2:9" x14ac:dyDescent="0.25">
      <c r="G24" s="27" t="s">
        <v>18</v>
      </c>
      <c r="H24" s="30">
        <f>SUM(H20:H23)</f>
        <v>3650835</v>
      </c>
      <c r="I24" s="31">
        <f>Tabla11[[#This Row],[Valor $]]/$D$2</f>
        <v>100.67103267613402</v>
      </c>
    </row>
    <row r="27" spans="2:9" ht="15.75" thickBot="1" x14ac:dyDescent="0.3">
      <c r="G27" s="14" t="s">
        <v>8</v>
      </c>
      <c r="H27" s="61" t="s">
        <v>9</v>
      </c>
      <c r="I27" s="15" t="s">
        <v>26</v>
      </c>
    </row>
    <row r="28" spans="2:9" ht="15.75" thickTop="1" x14ac:dyDescent="0.25">
      <c r="G28" s="114" t="s">
        <v>27</v>
      </c>
      <c r="H28" s="186">
        <v>4000</v>
      </c>
      <c r="I28" s="187">
        <v>0.11029918654349924</v>
      </c>
    </row>
    <row r="29" spans="2:9" x14ac:dyDescent="0.25">
      <c r="B29" s="12" t="s">
        <v>32</v>
      </c>
      <c r="G29" s="116" t="s">
        <v>28</v>
      </c>
      <c r="H29" s="188">
        <v>146835</v>
      </c>
      <c r="I29" s="157">
        <v>4.0489452640286778</v>
      </c>
    </row>
    <row r="30" spans="2:9" x14ac:dyDescent="0.25">
      <c r="B30" t="s">
        <v>33</v>
      </c>
      <c r="G30" s="189" t="s">
        <v>18</v>
      </c>
      <c r="H30" s="190">
        <f>SUM(H28:H29)</f>
        <v>150835</v>
      </c>
      <c r="I30" s="190">
        <f>SUM(I28:I29)</f>
        <v>4.1592444505721771</v>
      </c>
    </row>
    <row r="31" spans="2:9" x14ac:dyDescent="0.25">
      <c r="B31" s="8" t="s">
        <v>34</v>
      </c>
      <c r="C31" s="8" t="s">
        <v>35</v>
      </c>
      <c r="D31" s="8" t="s">
        <v>9</v>
      </c>
      <c r="E31" s="8" t="s">
        <v>11</v>
      </c>
    </row>
    <row r="32" spans="2:9" x14ac:dyDescent="0.25">
      <c r="B32" s="8" t="s">
        <v>36</v>
      </c>
      <c r="C32" s="8">
        <v>1</v>
      </c>
      <c r="D32" s="19">
        <v>216990</v>
      </c>
      <c r="E32" s="9">
        <f>Tabla13[[#This Row],[Valor $]]/$D$2</f>
        <v>5.9834551220184755</v>
      </c>
    </row>
    <row r="33" spans="2:6" x14ac:dyDescent="0.25">
      <c r="B33" s="8" t="s">
        <v>37</v>
      </c>
      <c r="C33" s="8">
        <v>1</v>
      </c>
      <c r="D33" s="19">
        <v>49990</v>
      </c>
      <c r="E33" s="9">
        <f>Tabla13[[#This Row],[Valor $]]/$D$2</f>
        <v>1.3784640838273818</v>
      </c>
    </row>
    <row r="34" spans="2:6" x14ac:dyDescent="0.25">
      <c r="B34" s="8" t="s">
        <v>38</v>
      </c>
      <c r="C34" s="8">
        <v>1</v>
      </c>
      <c r="D34" s="19">
        <v>419990</v>
      </c>
      <c r="E34" s="9">
        <f>Tabla13[[#This Row],[Valor $]]/$D$2</f>
        <v>11.581138839101062</v>
      </c>
    </row>
    <row r="35" spans="2:6" x14ac:dyDescent="0.25">
      <c r="B35" s="8" t="s">
        <v>39</v>
      </c>
      <c r="C35" s="8">
        <v>1</v>
      </c>
      <c r="D35" s="19">
        <v>56990</v>
      </c>
      <c r="E35" s="9">
        <f>Tabla13[[#This Row],[Valor $]]/$D$2</f>
        <v>1.5714876602785055</v>
      </c>
    </row>
    <row r="36" spans="2:6" x14ac:dyDescent="0.25">
      <c r="B36" s="8" t="s">
        <v>40</v>
      </c>
      <c r="C36" s="8">
        <v>1</v>
      </c>
      <c r="D36" s="19">
        <v>19900</v>
      </c>
      <c r="E36" s="9">
        <f>Tabla13[[#This Row],[Valor $]]/$D$2</f>
        <v>0.54873845305390878</v>
      </c>
    </row>
    <row r="37" spans="2:6" x14ac:dyDescent="0.25">
      <c r="B37" s="8" t="s">
        <v>41</v>
      </c>
      <c r="C37" s="8">
        <v>1</v>
      </c>
      <c r="D37" s="19">
        <v>65990</v>
      </c>
      <c r="E37" s="9">
        <f>Tabla13[[#This Row],[Valor $]]/$D$2</f>
        <v>1.8196608300013788</v>
      </c>
    </row>
    <row r="38" spans="2:6" x14ac:dyDescent="0.25">
      <c r="B38" s="8" t="s">
        <v>42</v>
      </c>
      <c r="C38" s="8">
        <v>1</v>
      </c>
      <c r="D38" s="19">
        <v>11990</v>
      </c>
      <c r="E38" s="9">
        <f>Tabla13[[#This Row],[Valor $]]/$D$2</f>
        <v>0.33062181166413895</v>
      </c>
    </row>
    <row r="39" spans="2:6" x14ac:dyDescent="0.25">
      <c r="B39" s="27" t="s">
        <v>43</v>
      </c>
      <c r="C39" s="27"/>
      <c r="D39" s="30">
        <f>SUM(D32:D37)</f>
        <v>829850</v>
      </c>
      <c r="E39" s="31">
        <f>Tabla13[[#This Row],[Valor $]]/$D$2</f>
        <v>22.882944988280713</v>
      </c>
    </row>
    <row r="42" spans="2:6" x14ac:dyDescent="0.25">
      <c r="B42" t="s">
        <v>16</v>
      </c>
    </row>
    <row r="43" spans="2:6" x14ac:dyDescent="0.25">
      <c r="B43" s="171" t="s">
        <v>8</v>
      </c>
      <c r="C43" s="171" t="s">
        <v>35</v>
      </c>
      <c r="D43" s="93" t="s">
        <v>44</v>
      </c>
      <c r="E43" s="171" t="s">
        <v>9</v>
      </c>
      <c r="F43" s="171" t="s">
        <v>11</v>
      </c>
    </row>
    <row r="44" spans="2:6" x14ac:dyDescent="0.25">
      <c r="B44" s="171" t="s">
        <v>45</v>
      </c>
      <c r="C44" s="171">
        <v>1</v>
      </c>
      <c r="D44" s="172">
        <v>99990</v>
      </c>
      <c r="E44" s="172">
        <f>Tabla3[[#This Row],[Valor Unitario]]*Tabla3[[#This Row],[Cantidad]]</f>
        <v>99990</v>
      </c>
      <c r="F44" s="173">
        <f>Tabla3[[#This Row],[Valor $]]/$D$2</f>
        <v>2.7572039156211221</v>
      </c>
    </row>
    <row r="45" spans="2:6" x14ac:dyDescent="0.25">
      <c r="B45" s="171" t="s">
        <v>46</v>
      </c>
      <c r="C45" s="171">
        <v>2</v>
      </c>
      <c r="D45" s="172">
        <v>64450</v>
      </c>
      <c r="E45" s="172">
        <f>Tabla3[[#This Row],[Valor Unitario]]*Tabla3[[#This Row],[Cantidad]]</f>
        <v>128900</v>
      </c>
      <c r="F45" s="173">
        <f>Tabla3[[#This Row],[Valor $]]/$D$2</f>
        <v>3.5543912863642633</v>
      </c>
    </row>
    <row r="46" spans="2:6" x14ac:dyDescent="0.25">
      <c r="B46" s="171" t="s">
        <v>47</v>
      </c>
      <c r="C46" s="171">
        <v>1</v>
      </c>
      <c r="D46" s="172">
        <v>49990</v>
      </c>
      <c r="E46" s="172">
        <f>Tabla3[[#This Row],[Valor Unitario]]*Tabla3[[#This Row],[Cantidad]]</f>
        <v>49990</v>
      </c>
      <c r="F46" s="173">
        <f>Tabla3[[#This Row],[Valor $]]/$D$2</f>
        <v>1.3784640838273818</v>
      </c>
    </row>
    <row r="47" spans="2:6" x14ac:dyDescent="0.25">
      <c r="B47" s="171" t="s">
        <v>48</v>
      </c>
      <c r="C47" s="171">
        <v>1</v>
      </c>
      <c r="D47" s="172">
        <v>55300</v>
      </c>
      <c r="E47" s="172">
        <f>Tabla3[[#This Row],[Valor Unitario]]*Tabla3[[#This Row],[Cantidad]]</f>
        <v>55300</v>
      </c>
      <c r="F47" s="173">
        <f>Tabla3[[#This Row],[Valor $]]/$D$2</f>
        <v>1.524886253963877</v>
      </c>
    </row>
    <row r="48" spans="2:6" x14ac:dyDescent="0.25">
      <c r="B48" s="171" t="s">
        <v>42</v>
      </c>
      <c r="C48" s="171">
        <v>1</v>
      </c>
      <c r="D48" s="172">
        <v>11990</v>
      </c>
      <c r="E48" s="172">
        <f>Tabla3[[#This Row],[Valor Unitario]]*Tabla3[[#This Row],[Cantidad]]</f>
        <v>11990</v>
      </c>
      <c r="F48" s="173">
        <f>Tabla3[[#This Row],[Valor $]]/$D$2</f>
        <v>0.33062181166413895</v>
      </c>
    </row>
    <row r="49" spans="2:6" x14ac:dyDescent="0.25">
      <c r="B49" s="171" t="s">
        <v>49</v>
      </c>
      <c r="C49" s="171">
        <v>2</v>
      </c>
      <c r="D49" s="174">
        <v>48916</v>
      </c>
      <c r="E49" s="172">
        <f>Tabla3[[#This Row],[Valor Unitario]]*Tabla3[[#This Row],[Cantidad]]</f>
        <v>97832</v>
      </c>
      <c r="F49" s="173">
        <f>Tabla3[[#This Row],[Valor $]]/$D$2</f>
        <v>2.6976975044809044</v>
      </c>
    </row>
    <row r="50" spans="2:6" x14ac:dyDescent="0.25">
      <c r="B50" s="171" t="s">
        <v>50</v>
      </c>
      <c r="C50" s="171">
        <v>2</v>
      </c>
      <c r="D50" s="174">
        <v>9660</v>
      </c>
      <c r="E50" s="172">
        <f>Tabla3[[#This Row],[Valor Unitario]]*Tabla3[[#This Row],[Cantidad]]</f>
        <v>19320</v>
      </c>
      <c r="F50" s="173">
        <f>Tabla3[[#This Row],[Valor $]]/$D$2</f>
        <v>0.53274507100510138</v>
      </c>
    </row>
    <row r="51" spans="2:6" x14ac:dyDescent="0.25">
      <c r="B51" s="171" t="s">
        <v>51</v>
      </c>
      <c r="C51" s="171">
        <v>2</v>
      </c>
      <c r="D51" s="174">
        <v>14163</v>
      </c>
      <c r="E51" s="172">
        <f>Tabla3[[#This Row],[Valor Unitario]]*Tabla3[[#This Row],[Cantidad]]</f>
        <v>28326</v>
      </c>
      <c r="F51" s="173">
        <f>Tabla3[[#This Row],[Valor $]]/$D$2</f>
        <v>0.78108368950778984</v>
      </c>
    </row>
    <row r="52" spans="2:6" x14ac:dyDescent="0.25">
      <c r="B52" s="175" t="s">
        <v>43</v>
      </c>
      <c r="C52" s="175"/>
      <c r="D52" s="175"/>
      <c r="E52" s="176">
        <f>SUM(E44:E51)</f>
        <v>491648</v>
      </c>
      <c r="F52" s="177">
        <f>SUM(F44:F51)</f>
        <v>13.557093616434578</v>
      </c>
    </row>
    <row r="55" spans="2:6" x14ac:dyDescent="0.25">
      <c r="B55" t="s">
        <v>12</v>
      </c>
    </row>
    <row r="56" spans="2:6" x14ac:dyDescent="0.25">
      <c r="B56" s="8" t="s">
        <v>8</v>
      </c>
      <c r="C56" s="8" t="s">
        <v>35</v>
      </c>
      <c r="D56" s="8" t="s">
        <v>44</v>
      </c>
      <c r="E56" s="8" t="s">
        <v>9</v>
      </c>
      <c r="F56" s="8" t="s">
        <v>11</v>
      </c>
    </row>
    <row r="57" spans="2:6" x14ac:dyDescent="0.25">
      <c r="B57" s="8" t="s">
        <v>52</v>
      </c>
      <c r="C57" s="8">
        <v>54</v>
      </c>
      <c r="D57" s="59">
        <v>8990</v>
      </c>
      <c r="E57" s="19">
        <f>Tabla4[[#This Row],[Cantidad]]*D57</f>
        <v>485460</v>
      </c>
      <c r="F57" s="9">
        <f>Tabla4[[#This Row],[Valor $]]/$D$2</f>
        <v>13.386460774851786</v>
      </c>
    </row>
    <row r="58" spans="2:6" x14ac:dyDescent="0.25">
      <c r="B58" s="8" t="s">
        <v>53</v>
      </c>
      <c r="C58" s="8">
        <v>15</v>
      </c>
      <c r="D58" s="59">
        <v>6990</v>
      </c>
      <c r="E58" s="19">
        <f>Tabla4[[#This Row],[Cantidad]]*D58</f>
        <v>104850</v>
      </c>
      <c r="F58" s="9">
        <f>Tabla4[[#This Row],[Valor $]]/$D$2</f>
        <v>2.8912174272714739</v>
      </c>
    </row>
    <row r="59" spans="2:6" x14ac:dyDescent="0.25">
      <c r="B59" s="8" t="s">
        <v>54</v>
      </c>
      <c r="C59" s="8">
        <v>10</v>
      </c>
      <c r="D59" s="59">
        <v>51280</v>
      </c>
      <c r="E59" s="19">
        <f>Tabla4[[#This Row],[Cantidad]]*D59</f>
        <v>512800</v>
      </c>
      <c r="F59" s="9">
        <f>Tabla4[[#This Row],[Valor $]]/$D$2</f>
        <v>14.140355714876602</v>
      </c>
    </row>
    <row r="60" spans="2:6" x14ac:dyDescent="0.25">
      <c r="B60" s="8" t="s">
        <v>55</v>
      </c>
      <c r="C60" s="8">
        <v>30</v>
      </c>
      <c r="D60" s="59">
        <v>249.5</v>
      </c>
      <c r="E60" s="19">
        <f>Tabla4[[#This Row],[Cantidad]]*D60</f>
        <v>7485</v>
      </c>
      <c r="F60" s="9">
        <f>Tabla4[[#This Row],[Valor $]]/$D$2</f>
        <v>0.20639735281952296</v>
      </c>
    </row>
    <row r="61" spans="2:6" x14ac:dyDescent="0.25">
      <c r="B61" s="8" t="s">
        <v>56</v>
      </c>
      <c r="C61" s="8">
        <v>20</v>
      </c>
      <c r="D61" s="59">
        <v>2798</v>
      </c>
      <c r="E61" s="19">
        <f>Tabla4[[#This Row],[Cantidad]]*D61</f>
        <v>55960</v>
      </c>
      <c r="F61" s="9">
        <f>Tabla4[[#This Row],[Valor $]]/$D$2</f>
        <v>1.5430856197435543</v>
      </c>
    </row>
    <row r="62" spans="2:6" x14ac:dyDescent="0.25">
      <c r="B62" s="8" t="s">
        <v>57</v>
      </c>
      <c r="C62" s="8">
        <v>4</v>
      </c>
      <c r="D62" s="59">
        <v>6990</v>
      </c>
      <c r="E62" s="19">
        <f>Tabla4[[#This Row],[Cantidad]]*D62</f>
        <v>27960</v>
      </c>
      <c r="F62" s="9">
        <f>Tabla4[[#This Row],[Valor $]]/$D$2</f>
        <v>0.77099131393905973</v>
      </c>
    </row>
    <row r="63" spans="2:6" x14ac:dyDescent="0.25">
      <c r="B63" s="8" t="s">
        <v>58</v>
      </c>
      <c r="C63" s="8">
        <v>10</v>
      </c>
      <c r="D63" s="59">
        <v>19990</v>
      </c>
      <c r="E63" s="46">
        <f>Tabla4[[#This Row],[Cantidad]]*D63</f>
        <v>199900</v>
      </c>
      <c r="F63" s="9">
        <f>Tabla4[[#This Row],[Valor $]]/$D$2</f>
        <v>5.512201847511375</v>
      </c>
    </row>
    <row r="64" spans="2:6" x14ac:dyDescent="0.25">
      <c r="B64" s="8" t="s">
        <v>59</v>
      </c>
      <c r="C64" s="8">
        <v>10</v>
      </c>
      <c r="D64" s="59">
        <v>14980</v>
      </c>
      <c r="E64" s="46">
        <f>Tabla4[[#This Row],[Cantidad]]*D64</f>
        <v>149800</v>
      </c>
      <c r="F64" s="9">
        <f>Tabla4[[#This Row],[Valor $]]/$D$2</f>
        <v>4.1307045360540462</v>
      </c>
    </row>
    <row r="65" spans="2:6" x14ac:dyDescent="0.25">
      <c r="B65" s="27" t="s">
        <v>43</v>
      </c>
      <c r="C65" s="48"/>
      <c r="D65" s="60"/>
      <c r="E65" s="49">
        <f>SUM(E57:E64)</f>
        <v>1544215</v>
      </c>
      <c r="F65" s="31">
        <f>Tabla4[[#This Row],[Valor $]]/$D$2</f>
        <v>42.581414587067421</v>
      </c>
    </row>
  </sheetData>
  <pageMargins left="0.7" right="0.7" top="0.75" bottom="0.75" header="0.3" footer="0.3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21"/>
  <sheetViews>
    <sheetView workbookViewId="0">
      <selection activeCell="I16" sqref="I16"/>
    </sheetView>
  </sheetViews>
  <sheetFormatPr baseColWidth="10" defaultColWidth="11.42578125" defaultRowHeight="15" x14ac:dyDescent="0.25"/>
  <cols>
    <col min="2" max="2" width="34.140625" customWidth="1"/>
    <col min="3" max="3" width="7.28515625" customWidth="1"/>
    <col min="4" max="4" width="7.5703125" customWidth="1"/>
    <col min="5" max="5" width="7.42578125" customWidth="1"/>
    <col min="6" max="8" width="7.28515625" customWidth="1"/>
    <col min="9" max="9" width="6.85546875" customWidth="1"/>
    <col min="10" max="10" width="7.28515625" customWidth="1"/>
    <col min="11" max="11" width="6.85546875" customWidth="1"/>
    <col min="12" max="13" width="7" customWidth="1"/>
    <col min="14" max="14" width="6.85546875" customWidth="1"/>
    <col min="15" max="17" width="11" bestFit="1" customWidth="1"/>
  </cols>
  <sheetData>
    <row r="2" spans="2:19" x14ac:dyDescent="0.25">
      <c r="B2" t="s">
        <v>4</v>
      </c>
      <c r="C2" s="104">
        <f>GASTOS!E2</f>
        <v>36265</v>
      </c>
    </row>
    <row r="3" spans="2:19" ht="36.6" customHeight="1" x14ac:dyDescent="0.25"/>
    <row r="4" spans="2:19" ht="25.15" customHeight="1" x14ac:dyDescent="0.25">
      <c r="B4" s="93"/>
      <c r="C4" s="94" t="s">
        <v>60</v>
      </c>
      <c r="D4" s="94" t="s">
        <v>61</v>
      </c>
      <c r="E4" s="94" t="s">
        <v>62</v>
      </c>
      <c r="F4" s="94" t="s">
        <v>63</v>
      </c>
      <c r="G4" s="94" t="s">
        <v>64</v>
      </c>
      <c r="H4" s="94" t="s">
        <v>65</v>
      </c>
      <c r="I4" s="94" t="s">
        <v>66</v>
      </c>
      <c r="J4" s="94" t="s">
        <v>67</v>
      </c>
      <c r="K4" s="94" t="s">
        <v>68</v>
      </c>
      <c r="L4" s="94" t="s">
        <v>69</v>
      </c>
      <c r="M4" s="94" t="s">
        <v>70</v>
      </c>
      <c r="N4" s="94" t="s">
        <v>71</v>
      </c>
      <c r="O4" s="105" t="s">
        <v>72</v>
      </c>
      <c r="P4" s="105" t="s">
        <v>73</v>
      </c>
      <c r="Q4" s="105" t="s">
        <v>74</v>
      </c>
      <c r="R4" s="105" t="s">
        <v>75</v>
      </c>
      <c r="S4" s="105" t="s">
        <v>76</v>
      </c>
    </row>
    <row r="5" spans="2:19" x14ac:dyDescent="0.25">
      <c r="B5" s="95" t="s">
        <v>77</v>
      </c>
      <c r="C5" s="47">
        <f>INGRESOS!$C$7</f>
        <v>0.83</v>
      </c>
      <c r="D5" s="47">
        <f>INGRESOS!$C$7</f>
        <v>0.83</v>
      </c>
      <c r="E5" s="47">
        <f>INGRESOS!$C$7</f>
        <v>0.83</v>
      </c>
      <c r="F5" s="47">
        <f>INGRESOS!$C$7</f>
        <v>0.83</v>
      </c>
      <c r="G5" s="47">
        <f>INGRESOS!$C$7</f>
        <v>0.83</v>
      </c>
      <c r="H5" s="47">
        <f>INGRESOS!$C$7</f>
        <v>0.83</v>
      </c>
      <c r="I5" s="47">
        <f>INGRESOS!$C$7</f>
        <v>0.83</v>
      </c>
      <c r="J5" s="47">
        <f>INGRESOS!$C$7</f>
        <v>0.83</v>
      </c>
      <c r="K5" s="47">
        <f>INGRESOS!$C$7</f>
        <v>0.83</v>
      </c>
      <c r="L5" s="47">
        <f>INGRESOS!$C$7</f>
        <v>0.83</v>
      </c>
      <c r="M5" s="47">
        <f>INGRESOS!$C$7</f>
        <v>0.83</v>
      </c>
      <c r="N5" s="47">
        <f>INGRESOS!$C$7</f>
        <v>0.83</v>
      </c>
      <c r="O5" s="92"/>
      <c r="P5" s="92"/>
      <c r="Q5" s="92"/>
      <c r="R5" s="92"/>
      <c r="S5" s="92"/>
    </row>
    <row r="6" spans="2:19" x14ac:dyDescent="0.25">
      <c r="B6" s="96" t="s">
        <v>78</v>
      </c>
      <c r="C6" s="47">
        <v>10</v>
      </c>
      <c r="D6" s="47">
        <v>12</v>
      </c>
      <c r="E6" s="47">
        <v>24</v>
      </c>
      <c r="F6" s="47">
        <v>50</v>
      </c>
      <c r="G6" s="47">
        <v>64</v>
      </c>
      <c r="H6" s="47">
        <v>74</v>
      </c>
      <c r="I6" s="47">
        <v>74</v>
      </c>
      <c r="J6" s="47">
        <v>94</v>
      </c>
      <c r="K6" s="47">
        <v>100</v>
      </c>
      <c r="L6" s="47">
        <v>120</v>
      </c>
      <c r="M6" s="47">
        <v>142</v>
      </c>
      <c r="N6" s="47">
        <v>148</v>
      </c>
      <c r="O6" s="92"/>
      <c r="P6" s="92">
        <f>SUM(Tabla50[[#This Row],[ENE]:[DIC]])</f>
        <v>912</v>
      </c>
      <c r="Q6" s="92"/>
      <c r="R6" s="92"/>
      <c r="S6" s="92"/>
    </row>
    <row r="7" spans="2:19" x14ac:dyDescent="0.25">
      <c r="B7" s="96" t="s">
        <v>79</v>
      </c>
      <c r="C7" s="50">
        <f>C5*C6</f>
        <v>8.2999999999999989</v>
      </c>
      <c r="D7" s="50">
        <f t="shared" ref="D7:N7" si="0">D5*D6</f>
        <v>9.9599999999999991</v>
      </c>
      <c r="E7" s="50">
        <f t="shared" si="0"/>
        <v>19.919999999999998</v>
      </c>
      <c r="F7" s="50">
        <f t="shared" si="0"/>
        <v>41.5</v>
      </c>
      <c r="G7" s="50">
        <f t="shared" si="0"/>
        <v>53.12</v>
      </c>
      <c r="H7" s="50">
        <f t="shared" si="0"/>
        <v>61.419999999999995</v>
      </c>
      <c r="I7" s="50">
        <f t="shared" si="0"/>
        <v>61.419999999999995</v>
      </c>
      <c r="J7" s="50">
        <f t="shared" si="0"/>
        <v>78.02</v>
      </c>
      <c r="K7" s="50">
        <f t="shared" si="0"/>
        <v>83</v>
      </c>
      <c r="L7" s="50">
        <f t="shared" si="0"/>
        <v>99.6</v>
      </c>
      <c r="M7" s="50">
        <f t="shared" si="0"/>
        <v>117.86</v>
      </c>
      <c r="N7" s="50">
        <f t="shared" si="0"/>
        <v>122.83999999999999</v>
      </c>
      <c r="O7" s="106"/>
      <c r="P7" s="106">
        <f>SUM(Tabla50[[#This Row],[ENE]:[DIC]])</f>
        <v>756.96</v>
      </c>
      <c r="Q7" s="106"/>
      <c r="R7" s="106"/>
      <c r="S7" s="106"/>
    </row>
    <row r="8" spans="2:19" x14ac:dyDescent="0.25">
      <c r="B8" s="96" t="s">
        <v>80</v>
      </c>
      <c r="C8" s="47">
        <f>GASTOS!$U$14</f>
        <v>51.511926099545015</v>
      </c>
      <c r="D8" s="47">
        <f>GASTOS!$U$14</f>
        <v>51.511926099545015</v>
      </c>
      <c r="E8" s="47">
        <f>GASTOS!$U$14</f>
        <v>51.511926099545015</v>
      </c>
      <c r="F8" s="47">
        <f>GASTOS!$U$14</f>
        <v>51.511926099545015</v>
      </c>
      <c r="G8" s="47">
        <f>GASTOS!$U$14</f>
        <v>51.511926099545015</v>
      </c>
      <c r="H8" s="47">
        <f>GASTOS!$U$14</f>
        <v>51.511926099545015</v>
      </c>
      <c r="I8" s="47">
        <f>GASTOS!$U$14</f>
        <v>51.511926099545015</v>
      </c>
      <c r="J8" s="47">
        <f>GASTOS!$U$14</f>
        <v>51.511926099545015</v>
      </c>
      <c r="K8" s="47">
        <f>GASTOS!$U$14</f>
        <v>51.511926099545015</v>
      </c>
      <c r="L8" s="47">
        <f>GASTOS!$U$14</f>
        <v>51.511926099545015</v>
      </c>
      <c r="M8" s="47">
        <f>GASTOS!$U$14</f>
        <v>51.511926099545015</v>
      </c>
      <c r="N8" s="47">
        <f>GASTOS!$U$14</f>
        <v>51.511926099545015</v>
      </c>
      <c r="O8" s="92"/>
      <c r="P8" s="92">
        <f>SUM(Tabla50[[#This Row],[ENE]:[DIC]])</f>
        <v>618.14311319454021</v>
      </c>
      <c r="Q8" s="92"/>
      <c r="R8" s="92"/>
      <c r="S8" s="92"/>
    </row>
    <row r="9" spans="2:19" x14ac:dyDescent="0.25">
      <c r="B9" s="96" t="s">
        <v>81</v>
      </c>
      <c r="C9" s="47">
        <f>GASTOS!$U$21+'CAPITAL DE TRABAJO'!C21</f>
        <v>42.106714462980833</v>
      </c>
      <c r="D9" s="47">
        <f>GASTOS!$U$21+'CAPITAL DE TRABAJO'!D21</f>
        <v>44.753894940024814</v>
      </c>
      <c r="E9" s="47">
        <f>GASTOS!$U$21+'CAPITAL DE TRABAJO'!E21</f>
        <v>50.048255894112778</v>
      </c>
      <c r="F9" s="47">
        <f>GASTOS!$U$21+'CAPITAL DE TRABAJO'!F21</f>
        <v>57.989797325244723</v>
      </c>
      <c r="G9" s="47">
        <f>GASTOS!$U$21+'CAPITAL DE TRABAJO'!G21</f>
        <v>60.636977802288705</v>
      </c>
      <c r="H9" s="47">
        <f>GASTOS!$U$21+'CAPITAL DE TRABAJO'!H21</f>
        <v>60.636977802288705</v>
      </c>
      <c r="I9" s="47">
        <f>GASTOS!$U$21+'CAPITAL DE TRABAJO'!I21</f>
        <v>60.636977802288705</v>
      </c>
      <c r="J9" s="47">
        <f>GASTOS!$U$21+'CAPITAL DE TRABAJO'!J21</f>
        <v>63.284158279332686</v>
      </c>
      <c r="K9" s="47">
        <f>GASTOS!$U$21+'CAPITAL DE TRABAJO'!K21</f>
        <v>63.284158279332686</v>
      </c>
      <c r="L9" s="47">
        <f>GASTOS!$U$21+'CAPITAL DE TRABAJO'!L21</f>
        <v>63.284158279332686</v>
      </c>
      <c r="M9" s="47">
        <f>GASTOS!$U$21+'CAPITAL DE TRABAJO'!M21</f>
        <v>63.284158279332686</v>
      </c>
      <c r="N9" s="47">
        <f>GASTOS!$U$21+'CAPITAL DE TRABAJO'!N21</f>
        <v>63.284158279332686</v>
      </c>
      <c r="O9" s="92"/>
      <c r="P9" s="92">
        <f>SUM(Tabla50[[#This Row],[ENE]:[DIC]])</f>
        <v>693.23038742589267</v>
      </c>
      <c r="Q9" s="92"/>
      <c r="R9" s="92"/>
      <c r="S9" s="92"/>
    </row>
    <row r="10" spans="2:19" x14ac:dyDescent="0.25">
      <c r="B10" s="96" t="s">
        <v>82</v>
      </c>
      <c r="C10" s="50">
        <f>SUM(C8:C9)</f>
        <v>93.618640562525854</v>
      </c>
      <c r="D10" s="50">
        <f t="shared" ref="D10:N10" si="1">SUM(D8:D9)</f>
        <v>96.265821039569829</v>
      </c>
      <c r="E10" s="50">
        <f t="shared" si="1"/>
        <v>101.56018199365779</v>
      </c>
      <c r="F10" s="50">
        <f t="shared" si="1"/>
        <v>109.50172342478973</v>
      </c>
      <c r="G10" s="50">
        <f t="shared" si="1"/>
        <v>112.14890390183372</v>
      </c>
      <c r="H10" s="50">
        <f t="shared" si="1"/>
        <v>112.14890390183372</v>
      </c>
      <c r="I10" s="50">
        <f t="shared" si="1"/>
        <v>112.14890390183372</v>
      </c>
      <c r="J10" s="50">
        <f t="shared" si="1"/>
        <v>114.79608437887771</v>
      </c>
      <c r="K10" s="50">
        <f t="shared" si="1"/>
        <v>114.79608437887771</v>
      </c>
      <c r="L10" s="50">
        <f t="shared" si="1"/>
        <v>114.79608437887771</v>
      </c>
      <c r="M10" s="50">
        <f t="shared" si="1"/>
        <v>114.79608437887771</v>
      </c>
      <c r="N10" s="50">
        <f t="shared" si="1"/>
        <v>114.79608437887771</v>
      </c>
      <c r="O10" s="106"/>
      <c r="P10" s="106">
        <f>SUM(Tabla50[[#This Row],[ENE]:[DIC]])</f>
        <v>1311.3735006204329</v>
      </c>
      <c r="Q10" s="106"/>
      <c r="R10" s="106"/>
      <c r="S10" s="106"/>
    </row>
    <row r="11" spans="2:19" ht="15.75" thickBot="1" x14ac:dyDescent="0.3">
      <c r="B11" s="96" t="s">
        <v>83</v>
      </c>
      <c r="C11" s="47">
        <f>C7-C10</f>
        <v>-85.318640562525857</v>
      </c>
      <c r="D11" s="47">
        <f>D7-D10</f>
        <v>-86.305821039569835</v>
      </c>
      <c r="E11" s="47">
        <f t="shared" ref="E11:N11" si="2">E7-E10</f>
        <v>-81.640181993657791</v>
      </c>
      <c r="F11" s="47">
        <f t="shared" si="2"/>
        <v>-68.001723424789731</v>
      </c>
      <c r="G11" s="47">
        <f t="shared" si="2"/>
        <v>-59.028903901833722</v>
      </c>
      <c r="H11" s="47">
        <f t="shared" si="2"/>
        <v>-50.728903901833725</v>
      </c>
      <c r="I11" s="47">
        <f t="shared" si="2"/>
        <v>-50.728903901833725</v>
      </c>
      <c r="J11" s="47">
        <f t="shared" si="2"/>
        <v>-36.776084378877712</v>
      </c>
      <c r="K11" s="47">
        <f t="shared" si="2"/>
        <v>-31.796084378877708</v>
      </c>
      <c r="L11" s="112">
        <f t="shared" si="2"/>
        <v>-15.196084378877714</v>
      </c>
      <c r="M11" s="47">
        <f t="shared" si="2"/>
        <v>3.0639156211222911</v>
      </c>
      <c r="N11" s="47">
        <f t="shared" si="2"/>
        <v>8.0439156211222809</v>
      </c>
      <c r="O11" s="92"/>
      <c r="P11" s="92">
        <f>SUM(Tabla50[[#This Row],[ENE]:[DIC]])</f>
        <v>-554.41350062043284</v>
      </c>
      <c r="Q11" s="107"/>
      <c r="R11" s="92"/>
      <c r="S11" s="92"/>
    </row>
    <row r="12" spans="2:19" ht="15.75" thickBot="1" x14ac:dyDescent="0.3">
      <c r="B12" s="97" t="s">
        <v>84</v>
      </c>
      <c r="C12" s="47">
        <f>C11</f>
        <v>-85.318640562525857</v>
      </c>
      <c r="D12" s="47">
        <f>Tabla50[[#This Row],[ENE]]+D11</f>
        <v>-171.62446160209569</v>
      </c>
      <c r="E12" s="47">
        <f>Tabla50[[#This Row],[FEB]]+E11</f>
        <v>-253.26464359575348</v>
      </c>
      <c r="F12" s="47">
        <f>Tabla50[[#This Row],[MAR]]+F11</f>
        <v>-321.26636702054321</v>
      </c>
      <c r="G12" s="47">
        <f>Tabla50[[#This Row],[ABR]]+G11</f>
        <v>-380.29527092237691</v>
      </c>
      <c r="H12" s="47">
        <f>Tabla50[[#This Row],[MAY]]+H11</f>
        <v>-431.02417482421066</v>
      </c>
      <c r="I12" s="47">
        <f>Tabla50[[#This Row],[JUN]]+I11</f>
        <v>-481.75307872604441</v>
      </c>
      <c r="J12" s="47">
        <f>Tabla50[[#This Row],[JUL]]+J11</f>
        <v>-518.52916310492208</v>
      </c>
      <c r="K12" s="111">
        <f>Tabla50[[#This Row],[AGO]]+K11</f>
        <v>-550.32524748379979</v>
      </c>
      <c r="L12" s="113">
        <f>Tabla50[[#This Row],[SEPT]]+L11</f>
        <v>-565.52133186267747</v>
      </c>
      <c r="M12" s="47">
        <f>Tabla50[[#This Row],[OCT]]+M11</f>
        <v>-562.45741624155517</v>
      </c>
      <c r="N12" s="47">
        <f>Tabla50[[#This Row],[NOV]]+N11</f>
        <v>-554.41350062043284</v>
      </c>
      <c r="O12" s="92"/>
      <c r="P12" s="108">
        <f>SUM(Tabla50[[#This Row],[ENE]:[DIC]])</f>
        <v>-4875.793296566937</v>
      </c>
      <c r="Q12" s="109"/>
      <c r="R12" s="92"/>
      <c r="S12" s="92"/>
    </row>
    <row r="13" spans="2:19" x14ac:dyDescent="0.25">
      <c r="B13" s="98"/>
      <c r="C13" s="93"/>
      <c r="D13" s="93"/>
      <c r="E13" s="93"/>
      <c r="F13" s="93"/>
      <c r="G13" s="93"/>
      <c r="H13" s="93"/>
      <c r="I13" s="93"/>
      <c r="J13" s="93"/>
      <c r="K13" s="99"/>
      <c r="L13" s="99"/>
      <c r="M13" s="93"/>
      <c r="N13" s="93"/>
      <c r="O13" s="93"/>
      <c r="P13" s="93"/>
      <c r="Q13" s="93"/>
      <c r="R13" s="93"/>
      <c r="S13" s="93"/>
    </row>
    <row r="14" spans="2:19" x14ac:dyDescent="0.25">
      <c r="B14" s="96" t="s">
        <v>15</v>
      </c>
      <c r="C14" s="184">
        <f>MIN(C12:N12)</f>
        <v>-565.52133186267747</v>
      </c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93"/>
    </row>
    <row r="19" spans="2:19" x14ac:dyDescent="0.25">
      <c r="B19" t="s">
        <v>85</v>
      </c>
    </row>
    <row r="20" spans="2:19" x14ac:dyDescent="0.25">
      <c r="B20" s="102" t="s">
        <v>86</v>
      </c>
      <c r="C20" s="103">
        <v>192000</v>
      </c>
      <c r="D20" s="103">
        <v>288000</v>
      </c>
      <c r="E20" s="103">
        <v>480000</v>
      </c>
      <c r="F20" s="103">
        <v>768000</v>
      </c>
      <c r="G20" s="103">
        <v>864000</v>
      </c>
      <c r="H20" s="103">
        <v>864000</v>
      </c>
      <c r="I20" s="103">
        <v>864000</v>
      </c>
      <c r="J20" s="103">
        <v>960000</v>
      </c>
      <c r="K20" s="103">
        <v>960000</v>
      </c>
      <c r="L20" s="103">
        <v>960000</v>
      </c>
      <c r="M20" s="103">
        <v>960000</v>
      </c>
      <c r="N20" s="103">
        <v>960000</v>
      </c>
      <c r="O20" s="103">
        <v>1000320</v>
      </c>
      <c r="P20" s="103">
        <v>1000320</v>
      </c>
      <c r="Q20" s="103">
        <v>1000320</v>
      </c>
      <c r="R20" s="103">
        <v>1000320</v>
      </c>
      <c r="S20" s="103">
        <v>1000320</v>
      </c>
    </row>
    <row r="21" spans="2:19" x14ac:dyDescent="0.25">
      <c r="C21" s="24">
        <f>C20/$C$2</f>
        <v>5.2943609540879635</v>
      </c>
      <c r="D21" s="24">
        <f t="shared" ref="D21:S21" si="3">D20/$C$2</f>
        <v>7.9415414311319452</v>
      </c>
      <c r="E21" s="24">
        <f t="shared" si="3"/>
        <v>13.235902385219909</v>
      </c>
      <c r="F21" s="24">
        <f t="shared" si="3"/>
        <v>21.177443816351854</v>
      </c>
      <c r="G21" s="24">
        <f t="shared" si="3"/>
        <v>23.824624293395836</v>
      </c>
      <c r="H21" s="24">
        <f t="shared" si="3"/>
        <v>23.824624293395836</v>
      </c>
      <c r="I21" s="24">
        <f t="shared" si="3"/>
        <v>23.824624293395836</v>
      </c>
      <c r="J21" s="24">
        <f t="shared" si="3"/>
        <v>26.471804770439817</v>
      </c>
      <c r="K21" s="24">
        <f t="shared" si="3"/>
        <v>26.471804770439817</v>
      </c>
      <c r="L21" s="24">
        <f t="shared" si="3"/>
        <v>26.471804770439817</v>
      </c>
      <c r="M21" s="24">
        <f t="shared" si="3"/>
        <v>26.471804770439817</v>
      </c>
      <c r="N21" s="24">
        <f t="shared" si="3"/>
        <v>26.471804770439817</v>
      </c>
      <c r="O21" s="24">
        <f t="shared" si="3"/>
        <v>27.583620570798292</v>
      </c>
      <c r="P21" s="24">
        <f t="shared" si="3"/>
        <v>27.583620570798292</v>
      </c>
      <c r="Q21" s="24">
        <f t="shared" si="3"/>
        <v>27.583620570798292</v>
      </c>
      <c r="R21" s="24">
        <f t="shared" si="3"/>
        <v>27.583620570798292</v>
      </c>
      <c r="S21" s="24">
        <f t="shared" si="3"/>
        <v>27.583620570798292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E33"/>
  <sheetViews>
    <sheetView topLeftCell="A2" zoomScale="73" workbookViewId="0">
      <selection activeCell="U27" sqref="U27"/>
    </sheetView>
  </sheetViews>
  <sheetFormatPr baseColWidth="10" defaultColWidth="11.42578125" defaultRowHeight="15" x14ac:dyDescent="0.25"/>
  <cols>
    <col min="2" max="2" width="50.42578125" bestFit="1" customWidth="1"/>
    <col min="3" max="3" width="19.28515625" bestFit="1" customWidth="1"/>
    <col min="4" max="4" width="12.7109375" bestFit="1" customWidth="1"/>
    <col min="9" max="9" width="20.140625" customWidth="1"/>
    <col min="11" max="11" width="14.28515625" customWidth="1"/>
    <col min="12" max="12" width="12" customWidth="1"/>
    <col min="13" max="13" width="12.5703125" customWidth="1"/>
    <col min="19" max="19" width="19.42578125" bestFit="1" customWidth="1"/>
    <col min="20" max="20" width="12" bestFit="1" customWidth="1"/>
    <col min="26" max="26" width="15.140625" customWidth="1"/>
    <col min="27" max="27" width="10.42578125" customWidth="1"/>
    <col min="28" max="28" width="12" bestFit="1" customWidth="1"/>
  </cols>
  <sheetData>
    <row r="2" spans="2:31" x14ac:dyDescent="0.25">
      <c r="D2" s="55" t="s">
        <v>11</v>
      </c>
      <c r="E2" s="56">
        <v>36265</v>
      </c>
    </row>
    <row r="3" spans="2:31" x14ac:dyDescent="0.25">
      <c r="D3" s="57" t="s">
        <v>87</v>
      </c>
      <c r="E3" s="58">
        <v>45215</v>
      </c>
    </row>
    <row r="4" spans="2:31" x14ac:dyDescent="0.25">
      <c r="D4" t="s">
        <v>88</v>
      </c>
      <c r="E4" s="11">
        <v>0.19</v>
      </c>
    </row>
    <row r="6" spans="2:31" x14ac:dyDescent="0.25">
      <c r="B6" t="s">
        <v>89</v>
      </c>
      <c r="I6" t="s">
        <v>90</v>
      </c>
      <c r="S6" t="s">
        <v>91</v>
      </c>
      <c r="T6" s="88">
        <v>4.3999999999999997E-2</v>
      </c>
      <c r="AA6" t="s">
        <v>92</v>
      </c>
    </row>
    <row r="7" spans="2:31" ht="15.75" thickBot="1" x14ac:dyDescent="0.3">
      <c r="B7" s="8" t="s">
        <v>8</v>
      </c>
      <c r="C7" s="8" t="s">
        <v>35</v>
      </c>
      <c r="D7" s="8" t="s">
        <v>44</v>
      </c>
      <c r="E7" s="8" t="s">
        <v>93</v>
      </c>
      <c r="F7" s="8" t="s">
        <v>10</v>
      </c>
      <c r="I7" t="s">
        <v>8</v>
      </c>
      <c r="J7" t="s">
        <v>35</v>
      </c>
      <c r="K7" t="s">
        <v>94</v>
      </c>
      <c r="L7" t="s">
        <v>95</v>
      </c>
      <c r="M7" t="s">
        <v>96</v>
      </c>
      <c r="N7" t="s">
        <v>97</v>
      </c>
      <c r="S7" s="13" t="s">
        <v>98</v>
      </c>
      <c r="T7" s="14" t="s">
        <v>99</v>
      </c>
      <c r="U7" s="15" t="s">
        <v>100</v>
      </c>
      <c r="V7" s="9" t="s">
        <v>101</v>
      </c>
      <c r="W7" s="9" t="s">
        <v>102</v>
      </c>
      <c r="AA7" t="s">
        <v>8</v>
      </c>
    </row>
    <row r="8" spans="2:31" ht="15.75" thickTop="1" x14ac:dyDescent="0.25">
      <c r="B8" s="8" t="s">
        <v>103</v>
      </c>
      <c r="C8" s="8">
        <v>2</v>
      </c>
      <c r="D8" s="19">
        <v>5690</v>
      </c>
      <c r="E8" s="19">
        <f>C8*D8</f>
        <v>11380</v>
      </c>
      <c r="F8" s="9">
        <f t="shared" ref="F8:F17" si="0">E8/$E$2</f>
        <v>0.31380118571625532</v>
      </c>
      <c r="I8" s="64" t="s">
        <v>104</v>
      </c>
      <c r="J8" s="64">
        <v>2</v>
      </c>
      <c r="K8" s="65">
        <v>1995</v>
      </c>
      <c r="L8" s="65">
        <f t="shared" ref="L8:L16" si="1">J8*K8</f>
        <v>3990</v>
      </c>
      <c r="M8" s="66">
        <f t="shared" ref="M8:M23" si="2">L8/$E$2</f>
        <v>0.11002343857714049</v>
      </c>
      <c r="N8" s="86">
        <f>Tabla20[[#This Row],[Total UF c/IVA ]]*(1-$E$4)</f>
        <v>8.9118985247483809E-2</v>
      </c>
      <c r="S8" s="16" t="s">
        <v>105</v>
      </c>
      <c r="T8" s="17">
        <v>1500000</v>
      </c>
      <c r="U8" s="18">
        <f>Tabla79[[#This Row],[$ Con IVA]]/$E$2</f>
        <v>41.362194953812214</v>
      </c>
      <c r="V8" s="9">
        <f>Tabla79[[#This Row],[UF Mensual]]*12</f>
        <v>496.34633944574659</v>
      </c>
      <c r="W8" s="9">
        <f>Tabla79[[#This Row],[Total anual]]</f>
        <v>496.34633944574659</v>
      </c>
      <c r="AA8" t="s">
        <v>106</v>
      </c>
    </row>
    <row r="9" spans="2:31" x14ac:dyDescent="0.25">
      <c r="B9" s="8" t="s">
        <v>107</v>
      </c>
      <c r="C9" s="8">
        <v>1</v>
      </c>
      <c r="D9" s="19">
        <v>2890</v>
      </c>
      <c r="E9" s="19">
        <f t="shared" ref="E9:E16" si="3">C9*D9</f>
        <v>2890</v>
      </c>
      <c r="F9" s="9">
        <f t="shared" si="0"/>
        <v>7.9691162277678196E-2</v>
      </c>
      <c r="I9" s="64" t="s">
        <v>108</v>
      </c>
      <c r="J9" s="64">
        <v>1</v>
      </c>
      <c r="K9" s="65">
        <v>1123</v>
      </c>
      <c r="L9" s="65">
        <f t="shared" si="1"/>
        <v>1123</v>
      </c>
      <c r="M9" s="66">
        <f t="shared" si="2"/>
        <v>3.0966496622087412E-2</v>
      </c>
      <c r="N9" s="86">
        <f>Tabla20[[#This Row],[Total UF c/IVA ]]*(1-$E$4)</f>
        <v>2.5082862263890806E-2</v>
      </c>
      <c r="S9" s="8" t="s">
        <v>109</v>
      </c>
      <c r="T9" s="19">
        <v>24000</v>
      </c>
      <c r="U9" s="20">
        <f>Tabla79[[#This Row],[$ Con IVA]]/$E$2</f>
        <v>0.66179511926099543</v>
      </c>
      <c r="V9" s="9">
        <f>Tabla79[[#This Row],[UF Mensual]]*12</f>
        <v>7.9415414311319452</v>
      </c>
      <c r="W9" s="9">
        <f>Tabla79[[#This Row],[Total anual]]*(1-$E$4)</f>
        <v>6.4326485592168758</v>
      </c>
      <c r="AA9" s="8" t="s">
        <v>110</v>
      </c>
      <c r="AB9" s="8" t="s">
        <v>111</v>
      </c>
      <c r="AC9" s="8" t="s">
        <v>112</v>
      </c>
      <c r="AD9" s="8" t="s">
        <v>113</v>
      </c>
      <c r="AE9" s="8" t="s">
        <v>114</v>
      </c>
    </row>
    <row r="10" spans="2:31" x14ac:dyDescent="0.25">
      <c r="B10" s="8" t="s">
        <v>115</v>
      </c>
      <c r="C10" s="8">
        <v>1</v>
      </c>
      <c r="D10" s="19">
        <v>7190</v>
      </c>
      <c r="E10" s="19">
        <f t="shared" si="3"/>
        <v>7190</v>
      </c>
      <c r="F10" s="9">
        <f t="shared" si="0"/>
        <v>0.1982627878119399</v>
      </c>
      <c r="I10" s="64" t="s">
        <v>116</v>
      </c>
      <c r="J10" s="64">
        <v>1</v>
      </c>
      <c r="K10" s="65">
        <v>1013</v>
      </c>
      <c r="L10" s="65">
        <f t="shared" si="1"/>
        <v>1013</v>
      </c>
      <c r="M10" s="66">
        <f t="shared" si="2"/>
        <v>2.7933268992141182E-2</v>
      </c>
      <c r="N10" s="86">
        <f>Tabla20[[#This Row],[Total UF c/IVA ]]*(1-$E$4)</f>
        <v>2.2625947883634361E-2</v>
      </c>
      <c r="S10" s="22" t="s">
        <v>117</v>
      </c>
      <c r="T10" s="23">
        <f>L28</f>
        <v>15600</v>
      </c>
      <c r="U10" s="18">
        <f>Tabla79[[#This Row],[$ Con IVA]]/$E$2</f>
        <v>0.43016682751964702</v>
      </c>
      <c r="V10" s="9">
        <f>Tabla79[[#This Row],[UF Mensual]]*12</f>
        <v>5.162001930235764</v>
      </c>
      <c r="W10" s="9">
        <f>Tabla79[[#This Row],[Total anual]]*(1-$E$4)</f>
        <v>4.1812215634909693</v>
      </c>
      <c r="AA10" s="185">
        <v>760000</v>
      </c>
      <c r="AB10" s="185">
        <v>1075344</v>
      </c>
      <c r="AC10" s="185">
        <v>1433208</v>
      </c>
      <c r="AD10" s="185">
        <v>1764931</v>
      </c>
      <c r="AE10" s="185">
        <v>2390776</v>
      </c>
    </row>
    <row r="11" spans="2:31" x14ac:dyDescent="0.25">
      <c r="B11" s="8" t="s">
        <v>118</v>
      </c>
      <c r="C11" s="8">
        <v>1</v>
      </c>
      <c r="D11" s="19">
        <v>2190</v>
      </c>
      <c r="E11" s="19">
        <f t="shared" si="3"/>
        <v>2190</v>
      </c>
      <c r="F11" s="9">
        <f t="shared" si="0"/>
        <v>6.0388804632565837E-2</v>
      </c>
      <c r="I11" s="64" t="s">
        <v>119</v>
      </c>
      <c r="J11" s="64">
        <v>1</v>
      </c>
      <c r="K11" s="65">
        <v>1215</v>
      </c>
      <c r="L11" s="65">
        <f t="shared" si="1"/>
        <v>1215</v>
      </c>
      <c r="M11" s="66">
        <f t="shared" si="2"/>
        <v>3.3503377912587895E-2</v>
      </c>
      <c r="N11" s="86">
        <f>Tabla20[[#This Row],[Total UF c/IVA ]]*(1-$E$4)</f>
        <v>2.7137736109196196E-2</v>
      </c>
      <c r="S11" s="25" t="s">
        <v>120</v>
      </c>
      <c r="T11" s="26">
        <f>L27</f>
        <v>16760</v>
      </c>
      <c r="U11" s="20">
        <f>Tabla79[[#This Row],[$ Con IVA]]/$E$2</f>
        <v>0.46215359161726183</v>
      </c>
      <c r="V11" s="9">
        <f>Tabla79[[#This Row],[UF Mensual]]*12</f>
        <v>5.5458430994071417</v>
      </c>
      <c r="W11" s="9">
        <f>Tabla79[[#This Row],[Total anual]]*(1-$E$4)</f>
        <v>4.4921329105197847</v>
      </c>
      <c r="AA11" s="62">
        <f>AA10/$E$2</f>
        <v>20.956845443264857</v>
      </c>
      <c r="AB11" s="62">
        <f t="shared" ref="AB11:AE11" si="4">AB10/$E$2</f>
        <v>29.652392113608162</v>
      </c>
      <c r="AC11" s="62">
        <f t="shared" si="4"/>
        <v>39.520419136908863</v>
      </c>
      <c r="AD11" s="62">
        <f t="shared" si="4"/>
        <v>48.667613401351169</v>
      </c>
      <c r="AE11" s="62">
        <f t="shared" si="4"/>
        <v>65.925162001930232</v>
      </c>
    </row>
    <row r="12" spans="2:31" x14ac:dyDescent="0.25">
      <c r="B12" s="8" t="s">
        <v>121</v>
      </c>
      <c r="C12" s="8">
        <v>1</v>
      </c>
      <c r="D12" s="19">
        <v>10390</v>
      </c>
      <c r="E12" s="19">
        <f t="shared" si="3"/>
        <v>10390</v>
      </c>
      <c r="F12" s="9">
        <f t="shared" si="0"/>
        <v>0.28650213704673927</v>
      </c>
      <c r="I12" s="64" t="s">
        <v>122</v>
      </c>
      <c r="J12" s="64">
        <v>1</v>
      </c>
      <c r="K12" s="65">
        <v>1690</v>
      </c>
      <c r="L12" s="65">
        <f t="shared" si="1"/>
        <v>1690</v>
      </c>
      <c r="M12" s="66">
        <f t="shared" si="2"/>
        <v>4.6601406314628432E-2</v>
      </c>
      <c r="N12" s="86">
        <f>Tabla20[[#This Row],[Total UF c/IVA ]]*(1-$E$4)</f>
        <v>3.7747139114849032E-2</v>
      </c>
      <c r="S12" s="8" t="s">
        <v>123</v>
      </c>
      <c r="T12" s="19">
        <f>C33</f>
        <v>130393</v>
      </c>
      <c r="U12" s="18">
        <f>Tabla79[[#This Row],[$ Con IVA]]/$E$2</f>
        <v>3.595560457741624</v>
      </c>
      <c r="V12" s="9">
        <f>Tabla79[[#This Row],[UF Mensual]]*12</f>
        <v>43.146725492899492</v>
      </c>
      <c r="W12" s="9">
        <f>Tabla79[[#This Row],[Total anual]]*(1-$E$4)</f>
        <v>34.948847649248592</v>
      </c>
      <c r="AA12" s="63">
        <f>AA11*12</f>
        <v>251.4821453191783</v>
      </c>
      <c r="AB12" s="63">
        <f>AB11*12</f>
        <v>355.82870536329796</v>
      </c>
      <c r="AC12" s="63">
        <f t="shared" ref="AC12:AE12" si="5">AC11*12</f>
        <v>474.24502964290639</v>
      </c>
      <c r="AD12" s="63">
        <f t="shared" si="5"/>
        <v>584.01136081621405</v>
      </c>
      <c r="AE12" s="63">
        <f t="shared" si="5"/>
        <v>791.10194402316279</v>
      </c>
    </row>
    <row r="13" spans="2:31" x14ac:dyDescent="0.25">
      <c r="B13" s="8" t="s">
        <v>124</v>
      </c>
      <c r="C13" s="8">
        <v>2</v>
      </c>
      <c r="D13" s="19">
        <v>3490</v>
      </c>
      <c r="E13" s="19">
        <f t="shared" si="3"/>
        <v>6980</v>
      </c>
      <c r="F13" s="9">
        <f t="shared" si="0"/>
        <v>0.19247208051840617</v>
      </c>
      <c r="I13" s="67" t="s">
        <v>125</v>
      </c>
      <c r="J13" s="67">
        <v>2</v>
      </c>
      <c r="K13" s="68">
        <v>960</v>
      </c>
      <c r="L13" s="68">
        <f t="shared" si="1"/>
        <v>1920</v>
      </c>
      <c r="M13" s="69">
        <f t="shared" si="2"/>
        <v>5.2943609540879635E-2</v>
      </c>
      <c r="N13" s="86">
        <f>Tabla20[[#This Row],[Total UF c/IVA ]]*(1-$E$4)</f>
        <v>4.288432372811251E-2</v>
      </c>
      <c r="S13" s="8" t="s">
        <v>126</v>
      </c>
      <c r="T13" s="19">
        <v>181327</v>
      </c>
      <c r="U13" s="20">
        <f>Tabla79[[#This Row],[$ Con IVA]]/$E$2</f>
        <v>5.0000551495932717</v>
      </c>
      <c r="V13" s="9">
        <f>Tabla79[[#This Row],[UF Mensual]]*12</f>
        <v>60.000661795119257</v>
      </c>
      <c r="W13" s="9">
        <f>Tabla79[[#This Row],[Total anual]]*(1-$E$4)</f>
        <v>48.6005360540466</v>
      </c>
      <c r="AA13" s="92"/>
      <c r="AB13" s="92"/>
      <c r="AC13" s="92"/>
      <c r="AD13" s="92"/>
      <c r="AE13" s="92"/>
    </row>
    <row r="14" spans="2:31" x14ac:dyDescent="0.25">
      <c r="B14" s="8" t="s">
        <v>127</v>
      </c>
      <c r="C14" s="8">
        <v>3</v>
      </c>
      <c r="D14" s="19">
        <v>8990</v>
      </c>
      <c r="E14" s="19">
        <f t="shared" si="3"/>
        <v>26970</v>
      </c>
      <c r="F14" s="9">
        <f t="shared" si="0"/>
        <v>0.74369226526954368</v>
      </c>
      <c r="I14" t="s">
        <v>128</v>
      </c>
      <c r="J14">
        <v>5</v>
      </c>
      <c r="K14" s="46">
        <v>399</v>
      </c>
      <c r="L14" s="46">
        <f t="shared" si="1"/>
        <v>1995</v>
      </c>
      <c r="M14" s="47">
        <f t="shared" si="2"/>
        <v>5.5011719288570245E-2</v>
      </c>
      <c r="N14" s="86">
        <f>Tabla20[[#This Row],[Total UF c/IVA ]]*(1-$E$4)</f>
        <v>4.4559492623741905E-2</v>
      </c>
      <c r="S14" s="27" t="s">
        <v>18</v>
      </c>
      <c r="T14" s="28">
        <v>1868080</v>
      </c>
      <c r="U14" s="29">
        <f>Tabla79[[#This Row],[$ Con IVA]]/$E$2</f>
        <v>51.511926099545015</v>
      </c>
      <c r="V14" s="31">
        <f>Tabla79[[#This Row],[UF Mensual]]*12</f>
        <v>618.14311319454021</v>
      </c>
      <c r="W14" s="31">
        <f>SUM(W8:W13)</f>
        <v>595.00172618226952</v>
      </c>
    </row>
    <row r="15" spans="2:31" ht="15.75" thickBot="1" x14ac:dyDescent="0.3">
      <c r="B15" s="8" t="s">
        <v>129</v>
      </c>
      <c r="C15" s="8">
        <v>10</v>
      </c>
      <c r="D15" s="19">
        <v>790</v>
      </c>
      <c r="E15" s="19">
        <f t="shared" si="3"/>
        <v>7900</v>
      </c>
      <c r="F15" s="9">
        <f t="shared" si="0"/>
        <v>0.21784089342341101</v>
      </c>
      <c r="I15" t="s">
        <v>130</v>
      </c>
      <c r="J15">
        <v>10</v>
      </c>
      <c r="K15" s="46">
        <v>268</v>
      </c>
      <c r="L15" s="46">
        <f t="shared" si="1"/>
        <v>2680</v>
      </c>
      <c r="M15" s="47">
        <f t="shared" si="2"/>
        <v>7.3900454984144492E-2</v>
      </c>
      <c r="N15" s="86">
        <f>Tabla20[[#This Row],[Total UF c/IVA ]]*(1-$E$4)</f>
        <v>5.9859368537157044E-2</v>
      </c>
      <c r="Z15" s="93"/>
      <c r="AA15" s="14" t="s">
        <v>110</v>
      </c>
      <c r="AB15" s="61" t="s">
        <v>111</v>
      </c>
      <c r="AC15" s="61" t="s">
        <v>112</v>
      </c>
      <c r="AD15" s="61" t="s">
        <v>113</v>
      </c>
      <c r="AE15" s="15" t="s">
        <v>114</v>
      </c>
    </row>
    <row r="16" spans="2:31" ht="15.75" thickTop="1" x14ac:dyDescent="0.25">
      <c r="B16" s="8" t="s">
        <v>131</v>
      </c>
      <c r="C16" s="8">
        <v>1</v>
      </c>
      <c r="D16" s="19">
        <v>10790</v>
      </c>
      <c r="E16" s="19">
        <f t="shared" si="3"/>
        <v>10790</v>
      </c>
      <c r="F16" s="9">
        <f t="shared" si="0"/>
        <v>0.2975320557010892</v>
      </c>
      <c r="I16" s="70" t="s">
        <v>132</v>
      </c>
      <c r="J16" s="70">
        <v>2</v>
      </c>
      <c r="K16" s="71">
        <v>3978</v>
      </c>
      <c r="L16" s="71">
        <f t="shared" si="1"/>
        <v>7956</v>
      </c>
      <c r="M16" s="72">
        <f t="shared" si="2"/>
        <v>0.21938508203502</v>
      </c>
      <c r="N16" s="86">
        <f>Tabla20[[#This Row],[Total UF c/IVA ]]*(1-$E$4)</f>
        <v>0.17770191644836622</v>
      </c>
      <c r="S16" t="s">
        <v>133</v>
      </c>
      <c r="U16" s="88">
        <v>4.2000000000000003E-2</v>
      </c>
      <c r="Z16" s="194" t="s">
        <v>134</v>
      </c>
      <c r="AA16" s="191">
        <v>251.4821453191783</v>
      </c>
      <c r="AB16" s="192">
        <v>355.82870536329796</v>
      </c>
      <c r="AC16" s="192">
        <v>474.24502964290639</v>
      </c>
      <c r="AD16" s="192">
        <v>584.01136081621405</v>
      </c>
      <c r="AE16" s="193">
        <v>791.10194402316279</v>
      </c>
    </row>
    <row r="17" spans="2:29" x14ac:dyDescent="0.25">
      <c r="B17" s="27" t="s">
        <v>18</v>
      </c>
      <c r="C17" s="27"/>
      <c r="D17" s="30"/>
      <c r="E17" s="30">
        <f>SUM(E8:E16)</f>
        <v>86680</v>
      </c>
      <c r="F17" s="31">
        <f t="shared" si="0"/>
        <v>2.3901833723976287</v>
      </c>
      <c r="I17" s="70" t="s">
        <v>135</v>
      </c>
      <c r="J17" s="70">
        <v>4</v>
      </c>
      <c r="K17" s="71">
        <f>L17/J17</f>
        <v>1924.75</v>
      </c>
      <c r="L17" s="71">
        <v>7699</v>
      </c>
      <c r="M17" s="72">
        <f t="shared" si="2"/>
        <v>0.21229835929960017</v>
      </c>
      <c r="N17" s="86">
        <f>Tabla20[[#This Row],[Total UF c/IVA ]]*(1-$E$4)</f>
        <v>0.17196167103267615</v>
      </c>
      <c r="S17" s="8" t="s">
        <v>134</v>
      </c>
      <c r="T17" s="8" t="s">
        <v>9</v>
      </c>
      <c r="U17" s="8" t="s">
        <v>4</v>
      </c>
    </row>
    <row r="18" spans="2:29" x14ac:dyDescent="0.25">
      <c r="I18" s="70" t="s">
        <v>136</v>
      </c>
      <c r="J18" s="70">
        <v>1</v>
      </c>
      <c r="K18" s="71">
        <v>4500</v>
      </c>
      <c r="L18" s="71">
        <v>4500</v>
      </c>
      <c r="M18" s="72">
        <f t="shared" si="2"/>
        <v>0.12408658486143664</v>
      </c>
      <c r="N18" s="86">
        <f>Tabla20[[#This Row],[Total UF c/IVA ]]*(1-$E$4)</f>
        <v>0.10051013373776368</v>
      </c>
      <c r="S18" s="8" t="s">
        <v>137</v>
      </c>
      <c r="T18" s="19">
        <v>1115000</v>
      </c>
      <c r="U18" s="9">
        <f>Tabla80[[#This Row],[Valor $]]/$E$2</f>
        <v>30.745898249000415</v>
      </c>
    </row>
    <row r="19" spans="2:29" x14ac:dyDescent="0.25">
      <c r="I19" s="12" t="s">
        <v>138</v>
      </c>
      <c r="J19" s="12">
        <v>2</v>
      </c>
      <c r="K19" s="73">
        <v>1562</v>
      </c>
      <c r="L19" s="73">
        <f>J19*K19</f>
        <v>3124</v>
      </c>
      <c r="M19" s="74">
        <f t="shared" si="2"/>
        <v>8.614366469047291E-2</v>
      </c>
      <c r="N19" s="86">
        <f>Tabla20[[#This Row],[Total UF c/IVA ]]*(1-$E$4)</f>
        <v>6.9776368399283056E-2</v>
      </c>
      <c r="S19" s="8" t="s">
        <v>139</v>
      </c>
      <c r="T19" s="19">
        <v>190000</v>
      </c>
      <c r="U19" s="9">
        <f>Tabla80[[#This Row],[Valor $]]/$E$2</f>
        <v>5.2392113608162143</v>
      </c>
      <c r="AA19" s="8" t="s">
        <v>134</v>
      </c>
      <c r="AB19" s="8" t="s">
        <v>9</v>
      </c>
      <c r="AC19" s="8" t="s">
        <v>4</v>
      </c>
    </row>
    <row r="20" spans="2:29" x14ac:dyDescent="0.25">
      <c r="I20" s="12" t="s">
        <v>140</v>
      </c>
      <c r="J20" s="12">
        <v>1</v>
      </c>
      <c r="K20" s="73">
        <v>644</v>
      </c>
      <c r="L20" s="73">
        <f>J20*K20</f>
        <v>644</v>
      </c>
      <c r="M20" s="74">
        <f t="shared" si="2"/>
        <v>1.7758169033503378E-2</v>
      </c>
      <c r="N20" s="86">
        <f>Tabla20[[#This Row],[Total UF c/IVA ]]*(1-$E$4)</f>
        <v>1.4384116917137738E-2</v>
      </c>
      <c r="S20" s="8" t="s">
        <v>141</v>
      </c>
      <c r="T20" s="19">
        <v>30000</v>
      </c>
      <c r="U20" s="9">
        <f>Tabla80[[#This Row],[Valor $]]/$E$2</f>
        <v>0.82724389907624429</v>
      </c>
      <c r="AA20" s="8" t="s">
        <v>137</v>
      </c>
      <c r="AB20" s="19">
        <v>1115000</v>
      </c>
      <c r="AC20" s="9">
        <v>30.745898249000415</v>
      </c>
    </row>
    <row r="21" spans="2:29" x14ac:dyDescent="0.25">
      <c r="B21" t="s">
        <v>142</v>
      </c>
      <c r="I21" s="12" t="s">
        <v>143</v>
      </c>
      <c r="J21" s="12">
        <v>2</v>
      </c>
      <c r="K21" s="73">
        <v>696</v>
      </c>
      <c r="L21" s="73">
        <f t="shared" ref="L21:L22" si="6">J21*K21</f>
        <v>1392</v>
      </c>
      <c r="M21" s="74">
        <f t="shared" si="2"/>
        <v>3.8384116917137737E-2</v>
      </c>
      <c r="N21" s="86">
        <f>Tabla20[[#This Row],[Total UF c/IVA ]]*(1-$E$4)</f>
        <v>3.1091134702881568E-2</v>
      </c>
      <c r="S21" s="27" t="s">
        <v>144</v>
      </c>
      <c r="T21" s="30">
        <f>SUM(T18:T20)</f>
        <v>1335000</v>
      </c>
      <c r="U21" s="31">
        <f>Tabla80[[#This Row],[Valor $]]/$E$2</f>
        <v>36.812353508892869</v>
      </c>
      <c r="AA21" s="8" t="s">
        <v>145</v>
      </c>
      <c r="AB21" s="185">
        <f>AA10</f>
        <v>760000</v>
      </c>
      <c r="AC21" s="62">
        <f>AA11</f>
        <v>20.956845443264857</v>
      </c>
    </row>
    <row r="22" spans="2:29" ht="15.75" thickBot="1" x14ac:dyDescent="0.3">
      <c r="B22" s="14" t="s">
        <v>8</v>
      </c>
      <c r="C22" s="61" t="s">
        <v>146</v>
      </c>
      <c r="D22" s="61" t="s">
        <v>147</v>
      </c>
      <c r="E22" s="61" t="s">
        <v>102</v>
      </c>
      <c r="I22" s="12" t="s">
        <v>148</v>
      </c>
      <c r="J22" s="12">
        <v>2</v>
      </c>
      <c r="K22" s="73">
        <v>1386</v>
      </c>
      <c r="L22" s="73">
        <f t="shared" si="6"/>
        <v>2772</v>
      </c>
      <c r="M22" s="74">
        <f t="shared" si="2"/>
        <v>7.6437336274644968E-2</v>
      </c>
      <c r="N22" s="86">
        <f>Tabla20[[#This Row],[Total UF c/IVA ]]*(1-$E$4)</f>
        <v>6.1914242382462431E-2</v>
      </c>
      <c r="S22" s="27" t="s">
        <v>149</v>
      </c>
      <c r="T22" s="30">
        <f>T21*12</f>
        <v>16020000</v>
      </c>
      <c r="U22" s="31">
        <f>Tabla80[[#This Row],[Valor $]]/$E$2</f>
        <v>441.74824210671449</v>
      </c>
      <c r="AA22" s="8" t="s">
        <v>139</v>
      </c>
      <c r="AB22" s="19">
        <v>190000</v>
      </c>
      <c r="AC22" s="9">
        <v>5.2392113608162143</v>
      </c>
    </row>
    <row r="23" spans="2:29" ht="15.75" thickTop="1" x14ac:dyDescent="0.25">
      <c r="B23" s="8" t="s">
        <v>150</v>
      </c>
      <c r="C23" s="89">
        <f>SUM(L8:L12)</f>
        <v>9031</v>
      </c>
      <c r="D23" s="9">
        <f>Tabla1119[[#This Row],[Total $]]/$E$2</f>
        <v>0.24902798841858542</v>
      </c>
      <c r="E23" s="9">
        <f>Tabla1119[[#This Row],[Total con IVA]]*(1-$E$4)</f>
        <v>0.20171267061905421</v>
      </c>
      <c r="I23" s="48" t="s">
        <v>18</v>
      </c>
      <c r="J23" s="48"/>
      <c r="K23" s="48"/>
      <c r="L23" s="49">
        <f>SUM(L8:L22)</f>
        <v>43713</v>
      </c>
      <c r="M23" s="50">
        <f t="shared" si="2"/>
        <v>1.2053770853439956</v>
      </c>
      <c r="N23" s="87">
        <f>Tabla20[[#This Row],[Total UF c/IVA ]]*(1-$E$4)</f>
        <v>0.97635543912863643</v>
      </c>
      <c r="AA23" s="8" t="s">
        <v>141</v>
      </c>
      <c r="AB23" s="19">
        <v>30000</v>
      </c>
      <c r="AC23" s="9">
        <v>0.82724389907624429</v>
      </c>
    </row>
    <row r="24" spans="2:29" ht="15.75" thickBot="1" x14ac:dyDescent="0.3">
      <c r="B24" s="8" t="s">
        <v>151</v>
      </c>
      <c r="C24" s="89">
        <f>SUM(L13:L15)</f>
        <v>6595</v>
      </c>
      <c r="D24" s="9">
        <f>Tabla1119[[#This Row],[Total $]]/$E$2</f>
        <v>0.18185578381359438</v>
      </c>
      <c r="E24" s="9">
        <f>Tabla1119[[#This Row],[Total con IVA]]*(1-$E$4)</f>
        <v>0.14730318488901145</v>
      </c>
      <c r="S24" t="s">
        <v>152</v>
      </c>
      <c r="AA24" s="27" t="s">
        <v>144</v>
      </c>
      <c r="AB24" s="30">
        <f>SUM(AB20:AB23)</f>
        <v>2095000</v>
      </c>
      <c r="AC24" s="31">
        <f>AB24/E2</f>
        <v>57.76919895215773</v>
      </c>
    </row>
    <row r="25" spans="2:29" ht="15.75" thickBot="1" x14ac:dyDescent="0.3">
      <c r="B25" s="8" t="s">
        <v>153</v>
      </c>
      <c r="C25" s="89">
        <f>SUM(L19:L22)</f>
        <v>7932</v>
      </c>
      <c r="D25" s="9">
        <f>Tabla1119[[#This Row],[Total $]]/$E$2</f>
        <v>0.21872328691575899</v>
      </c>
      <c r="E25" s="9">
        <f>Tabla1119[[#This Row],[Total con IVA]]*(1-$E$4)</f>
        <v>0.1771658624017648</v>
      </c>
      <c r="S25" s="91" t="s">
        <v>8</v>
      </c>
      <c r="T25" t="s">
        <v>154</v>
      </c>
      <c r="U25" t="s">
        <v>155</v>
      </c>
      <c r="V25" t="s">
        <v>156</v>
      </c>
      <c r="W25" t="s">
        <v>157</v>
      </c>
      <c r="X25" t="s">
        <v>158</v>
      </c>
      <c r="AA25" s="27" t="s">
        <v>149</v>
      </c>
      <c r="AB25" s="30">
        <f>AB24*12</f>
        <v>25140000</v>
      </c>
      <c r="AC25" s="54">
        <f>AC24*12</f>
        <v>693.23038742589279</v>
      </c>
    </row>
    <row r="26" spans="2:29" ht="15.75" thickBot="1" x14ac:dyDescent="0.3">
      <c r="B26" s="8" t="s">
        <v>159</v>
      </c>
      <c r="C26" s="89">
        <f>SUM(L16:L18)</f>
        <v>20155</v>
      </c>
      <c r="D26" s="9">
        <f>Tabla1119[[#This Row],[Total $]]/$E$2</f>
        <v>0.55577002619605675</v>
      </c>
      <c r="E26" s="9">
        <f>Tabla1119[[#This Row],[Total con IVA]]*(1-$E$4)</f>
        <v>0.450173721218806</v>
      </c>
      <c r="I26" s="2" t="s">
        <v>160</v>
      </c>
      <c r="J26" s="45" t="s">
        <v>35</v>
      </c>
      <c r="K26" s="45" t="s">
        <v>44</v>
      </c>
      <c r="L26" s="45" t="s">
        <v>161</v>
      </c>
      <c r="M26" s="45" t="s">
        <v>162</v>
      </c>
      <c r="N26" s="45" t="s">
        <v>163</v>
      </c>
      <c r="O26" s="3" t="s">
        <v>164</v>
      </c>
      <c r="S26" s="91" t="s">
        <v>165</v>
      </c>
      <c r="T26" s="47">
        <f>'PROYECTO FINAN 75'!P66</f>
        <v>595.00172618226952</v>
      </c>
      <c r="U26" s="47">
        <f>T26*(1+$T$6)</f>
        <v>621.18180213428946</v>
      </c>
      <c r="V26" s="47">
        <f t="shared" ref="V26:X26" si="7">U26*(1+$T$6)</f>
        <v>648.51380142819824</v>
      </c>
      <c r="W26" s="47">
        <f t="shared" si="7"/>
        <v>677.04840869103896</v>
      </c>
      <c r="X26" s="47">
        <f t="shared" si="7"/>
        <v>706.83853867344465</v>
      </c>
    </row>
    <row r="27" spans="2:29" ht="16.5" thickTop="1" thickBot="1" x14ac:dyDescent="0.3">
      <c r="B27" s="27" t="s">
        <v>18</v>
      </c>
      <c r="C27" s="89">
        <f>SUM(C23:C26)</f>
        <v>43713</v>
      </c>
      <c r="D27" s="9">
        <f>Tabla1119[[#This Row],[Total $]]/$E$2</f>
        <v>1.2053770853439956</v>
      </c>
      <c r="E27" s="31">
        <f>Tabla1119[[#This Row],[Total con IVA]]*(1-$E$4)</f>
        <v>0.97635543912863643</v>
      </c>
      <c r="I27" s="4" t="s">
        <v>166</v>
      </c>
      <c r="J27" s="75">
        <v>20</v>
      </c>
      <c r="K27" s="76">
        <v>838</v>
      </c>
      <c r="L27" s="76">
        <f>K27*J27</f>
        <v>16760</v>
      </c>
      <c r="M27" s="77">
        <f>L27/$E$2</f>
        <v>0.46215359161726183</v>
      </c>
      <c r="N27" s="84">
        <f>M27*12</f>
        <v>5.5458430994071417</v>
      </c>
      <c r="O27" s="78">
        <f>N27*(1-$E$4)</f>
        <v>4.4921329105197847</v>
      </c>
      <c r="S27" s="91" t="s">
        <v>134</v>
      </c>
      <c r="T27" s="47">
        <f>'PROYECTO PURO'!M70</f>
        <v>441.74824210671449</v>
      </c>
      <c r="U27" s="47">
        <f>T27*(1+$U$16)</f>
        <v>460.3016682751965</v>
      </c>
      <c r="V27" s="47">
        <f t="shared" ref="V27:X27" si="8">U27*(1+$U$16)</f>
        <v>479.6343383427548</v>
      </c>
      <c r="W27" s="47">
        <f t="shared" si="8"/>
        <v>499.77898055315052</v>
      </c>
      <c r="X27" s="47">
        <f t="shared" si="8"/>
        <v>520.76969773638291</v>
      </c>
    </row>
    <row r="28" spans="2:29" ht="15.75" thickBot="1" x14ac:dyDescent="0.3">
      <c r="I28" s="5" t="s">
        <v>167</v>
      </c>
      <c r="J28" s="79">
        <v>120</v>
      </c>
      <c r="K28" s="80">
        <v>130</v>
      </c>
      <c r="L28" s="178">
        <f>K28*J28</f>
        <v>15600</v>
      </c>
      <c r="M28" s="179">
        <f t="shared" ref="M28:M29" si="9">L28/$E$2</f>
        <v>0.43016682751964702</v>
      </c>
      <c r="N28" s="180">
        <f t="shared" ref="N28:N29" si="10">M28*12</f>
        <v>5.162001930235764</v>
      </c>
      <c r="O28" s="181">
        <f t="shared" ref="O28:O29" si="11">N28*(1-$E$4)</f>
        <v>4.1812215634909693</v>
      </c>
      <c r="S28" s="91" t="s">
        <v>18</v>
      </c>
      <c r="T28" s="50">
        <f>SUM(T26:T27)</f>
        <v>1036.7499682889841</v>
      </c>
      <c r="U28" s="50">
        <f t="shared" ref="U28:X28" si="12">SUM(U26:U27)</f>
        <v>1081.483470409486</v>
      </c>
      <c r="V28" s="50">
        <f t="shared" si="12"/>
        <v>1128.1481397709531</v>
      </c>
      <c r="W28" s="50">
        <f t="shared" si="12"/>
        <v>1176.8273892441894</v>
      </c>
      <c r="X28" s="50">
        <f t="shared" si="12"/>
        <v>1227.6082364098274</v>
      </c>
    </row>
    <row r="29" spans="2:29" x14ac:dyDescent="0.25">
      <c r="I29" s="81" t="s">
        <v>18</v>
      </c>
      <c r="J29" s="82"/>
      <c r="K29" s="83">
        <f>SUM(K27:K28)</f>
        <v>968</v>
      </c>
      <c r="L29" s="83">
        <f>SUM(L27:L28)</f>
        <v>32360</v>
      </c>
      <c r="M29" s="182">
        <f t="shared" si="9"/>
        <v>0.89232041913690885</v>
      </c>
      <c r="N29" s="183">
        <f t="shared" si="10"/>
        <v>10.707845029642906</v>
      </c>
      <c r="O29" s="85">
        <f t="shared" si="11"/>
        <v>8.673354474010754</v>
      </c>
    </row>
    <row r="30" spans="2:29" x14ac:dyDescent="0.25">
      <c r="B30" s="8" t="s">
        <v>8</v>
      </c>
      <c r="C30" s="8" t="s">
        <v>146</v>
      </c>
      <c r="D30" s="8" t="s">
        <v>168</v>
      </c>
      <c r="E30" s="8" t="s">
        <v>169</v>
      </c>
    </row>
    <row r="31" spans="2:29" x14ac:dyDescent="0.25">
      <c r="B31" s="8" t="s">
        <v>170</v>
      </c>
      <c r="C31" s="89">
        <f>E17</f>
        <v>86680</v>
      </c>
      <c r="D31" s="62">
        <f>F17</f>
        <v>2.3901833723976287</v>
      </c>
      <c r="E31" s="9">
        <f>Tabla12[[#This Row],[Valor con IVA]]*(1-E4)</f>
        <v>1.9360485316420795</v>
      </c>
      <c r="T31" s="158">
        <v>595.00172618226952</v>
      </c>
      <c r="U31" s="77">
        <v>621.18180213428946</v>
      </c>
      <c r="V31" s="77">
        <v>648.51380142819824</v>
      </c>
      <c r="W31" s="77">
        <v>677.04840869103896</v>
      </c>
      <c r="X31" s="78">
        <v>706.83853867344465</v>
      </c>
    </row>
    <row r="32" spans="2:29" x14ac:dyDescent="0.25">
      <c r="B32" s="8" t="s">
        <v>171</v>
      </c>
      <c r="C32" s="89">
        <f>C27</f>
        <v>43713</v>
      </c>
      <c r="D32" s="62">
        <f>D27</f>
        <v>1.2053770853439956</v>
      </c>
      <c r="E32" s="9">
        <f>E27</f>
        <v>0.97635543912863643</v>
      </c>
      <c r="T32" s="159">
        <v>441.74824210671449</v>
      </c>
      <c r="U32" s="160">
        <v>460.3016682751965</v>
      </c>
      <c r="V32" s="160">
        <v>479.6343383427548</v>
      </c>
      <c r="W32" s="160">
        <v>499.77898055315052</v>
      </c>
      <c r="X32" s="161">
        <v>520.76969773638291</v>
      </c>
    </row>
    <row r="33" spans="2:5" x14ac:dyDescent="0.25">
      <c r="B33" s="27" t="s">
        <v>18</v>
      </c>
      <c r="C33" s="90">
        <f>SUM(C31:C32)</f>
        <v>130393</v>
      </c>
      <c r="D33" s="63">
        <f>SUM(D31:D32)</f>
        <v>3.595560457741624</v>
      </c>
      <c r="E33" s="31">
        <f>SUM(E31:E32)</f>
        <v>2.9124039707707157</v>
      </c>
    </row>
  </sheetData>
  <phoneticPr fontId="13" type="noConversion"/>
  <pageMargins left="0.7" right="0.7" top="0.75" bottom="0.75" header="0.3" footer="0.3"/>
  <drawing r:id="rId1"/>
  <tableParts count="9"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0"/>
  <sheetViews>
    <sheetView workbookViewId="0">
      <selection activeCell="I18" sqref="I18"/>
    </sheetView>
  </sheetViews>
  <sheetFormatPr baseColWidth="10" defaultColWidth="11.42578125" defaultRowHeight="15" x14ac:dyDescent="0.25"/>
  <cols>
    <col min="3" max="3" width="12" bestFit="1" customWidth="1"/>
    <col min="4" max="7" width="13" bestFit="1" customWidth="1"/>
  </cols>
  <sheetData>
    <row r="3" spans="2:7" x14ac:dyDescent="0.25">
      <c r="C3">
        <f>INVERSION!D2</f>
        <v>36265</v>
      </c>
    </row>
    <row r="4" spans="2:7" x14ac:dyDescent="0.25">
      <c r="B4" t="s">
        <v>172</v>
      </c>
      <c r="C4" s="88">
        <v>4.3999999999999997E-2</v>
      </c>
    </row>
    <row r="5" spans="2:7" ht="15.75" thickBot="1" x14ac:dyDescent="0.3">
      <c r="B5" s="8"/>
      <c r="C5" s="8" t="s">
        <v>154</v>
      </c>
      <c r="D5" s="8" t="s">
        <v>155</v>
      </c>
      <c r="E5" s="8" t="s">
        <v>156</v>
      </c>
      <c r="F5" s="8" t="s">
        <v>157</v>
      </c>
      <c r="G5" s="8" t="s">
        <v>158</v>
      </c>
    </row>
    <row r="6" spans="2:7" ht="15.75" thickBot="1" x14ac:dyDescent="0.3">
      <c r="B6" s="100" t="s">
        <v>173</v>
      </c>
      <c r="C6" s="8">
        <v>30000</v>
      </c>
      <c r="D6" s="10">
        <f>C6*(1+$C$4)</f>
        <v>31320</v>
      </c>
      <c r="E6" s="10">
        <f t="shared" ref="E6:G6" si="0">D6*(1+$C$4)</f>
        <v>32698.080000000002</v>
      </c>
      <c r="F6" s="10">
        <f t="shared" si="0"/>
        <v>34136.79552</v>
      </c>
      <c r="G6" s="10">
        <f t="shared" si="0"/>
        <v>35638.814522879999</v>
      </c>
    </row>
    <row r="7" spans="2:7" ht="15.75" thickBot="1" x14ac:dyDescent="0.3">
      <c r="B7" s="155" t="s">
        <v>174</v>
      </c>
      <c r="C7" s="9">
        <f>'PROYECTO FINAN 75'!M66</f>
        <v>0.83</v>
      </c>
      <c r="D7" s="9">
        <f>Tabla25[[#This Row],[Año 1]]*(1+$C$4)</f>
        <v>0.86651999999999996</v>
      </c>
      <c r="E7" s="9">
        <f>Tabla25[[#This Row],[Año 2]]*(1+$C$4)</f>
        <v>0.90464688000000004</v>
      </c>
      <c r="F7" s="9">
        <f>Tabla25[[#This Row],[Año 3]]*(1+$C$4)</f>
        <v>0.94445134272000009</v>
      </c>
      <c r="G7" s="9">
        <f>Tabla25[[#This Row],[Año 4]]*(1+$C$4)</f>
        <v>0.98600720179968016</v>
      </c>
    </row>
    <row r="8" spans="2:7" ht="15.75" thickBot="1" x14ac:dyDescent="0.3">
      <c r="B8" s="100" t="s">
        <v>175</v>
      </c>
      <c r="C8" s="10">
        <v>912</v>
      </c>
      <c r="D8" s="10">
        <v>2938</v>
      </c>
      <c r="E8" s="10">
        <v>6430</v>
      </c>
      <c r="F8" s="10">
        <v>8712</v>
      </c>
      <c r="G8" s="10">
        <v>10934</v>
      </c>
    </row>
    <row r="9" spans="2:7" ht="15.75" thickBot="1" x14ac:dyDescent="0.3">
      <c r="B9" s="100" t="s">
        <v>18</v>
      </c>
      <c r="C9" s="19">
        <f>C6*C8</f>
        <v>27360000</v>
      </c>
      <c r="D9" s="19">
        <f>D6*D8</f>
        <v>92018160</v>
      </c>
      <c r="E9" s="19">
        <f>E6*E8</f>
        <v>210248654.40000001</v>
      </c>
      <c r="F9" s="19">
        <f>F6*F8</f>
        <v>297399762.57024002</v>
      </c>
      <c r="G9" s="19">
        <f>G6*G8</f>
        <v>389674797.9931699</v>
      </c>
    </row>
    <row r="10" spans="2:7" ht="15.75" thickBot="1" x14ac:dyDescent="0.3">
      <c r="B10" s="100" t="s">
        <v>176</v>
      </c>
      <c r="C10" s="101">
        <f>C7*C8</f>
        <v>756.95999999999992</v>
      </c>
      <c r="D10" s="101">
        <f t="shared" ref="D10:G10" si="1">D7*D8</f>
        <v>2545.8357599999999</v>
      </c>
      <c r="E10" s="101">
        <f t="shared" si="1"/>
        <v>5816.8794384000003</v>
      </c>
      <c r="F10" s="101">
        <f t="shared" si="1"/>
        <v>8228.0600977766408</v>
      </c>
      <c r="G10" s="101">
        <f t="shared" si="1"/>
        <v>10781.002744477702</v>
      </c>
    </row>
    <row r="12" spans="2:7" x14ac:dyDescent="0.25">
      <c r="C12">
        <v>0.83</v>
      </c>
      <c r="D12" s="156">
        <v>0.8636426306355991</v>
      </c>
      <c r="E12" s="156">
        <v>0.90164290638356548</v>
      </c>
      <c r="F12" s="156">
        <v>0.94131519426444232</v>
      </c>
      <c r="G12" s="157">
        <v>0.98273306281207773</v>
      </c>
    </row>
    <row r="13" spans="2:7" x14ac:dyDescent="0.25">
      <c r="C13" s="114"/>
      <c r="D13" s="115"/>
      <c r="E13" s="115"/>
      <c r="F13" s="115"/>
      <c r="G13" s="162"/>
    </row>
    <row r="15" spans="2:7" x14ac:dyDescent="0.25">
      <c r="D15" s="1"/>
      <c r="E15" s="1"/>
      <c r="F15" s="1"/>
      <c r="G15" s="1"/>
    </row>
    <row r="16" spans="2:7" x14ac:dyDescent="0.25">
      <c r="G16" s="1"/>
    </row>
    <row r="17" spans="2:7" x14ac:dyDescent="0.25">
      <c r="B17" s="93"/>
      <c r="C17" s="166" t="s">
        <v>154</v>
      </c>
      <c r="D17" s="167" t="s">
        <v>155</v>
      </c>
      <c r="E17" s="167" t="s">
        <v>156</v>
      </c>
      <c r="F17" s="167" t="s">
        <v>157</v>
      </c>
      <c r="G17" s="168" t="s">
        <v>158</v>
      </c>
    </row>
    <row r="18" spans="2:7" ht="15.75" thickBot="1" x14ac:dyDescent="0.3">
      <c r="B18" s="155" t="s">
        <v>177</v>
      </c>
      <c r="C18" s="169">
        <v>0.83</v>
      </c>
      <c r="D18" s="169">
        <v>0.86651999999999996</v>
      </c>
      <c r="E18" s="169">
        <v>0.90464688000000004</v>
      </c>
      <c r="F18" s="169">
        <v>0.94445134272000009</v>
      </c>
      <c r="G18" s="169">
        <v>0.98600720179968016</v>
      </c>
    </row>
    <row r="19" spans="2:7" ht="15.75" thickBot="1" x14ac:dyDescent="0.3">
      <c r="B19" s="165" t="s">
        <v>178</v>
      </c>
      <c r="C19" s="170">
        <v>912</v>
      </c>
      <c r="D19" s="170">
        <v>2938</v>
      </c>
      <c r="E19" s="170">
        <v>6430</v>
      </c>
      <c r="F19" s="170">
        <v>8712</v>
      </c>
      <c r="G19" s="170">
        <v>10934</v>
      </c>
    </row>
    <row r="20" spans="2:7" ht="15.75" thickBot="1" x14ac:dyDescent="0.3">
      <c r="B20" s="100" t="s">
        <v>43</v>
      </c>
      <c r="C20" s="195">
        <v>756.95999999999992</v>
      </c>
      <c r="D20" s="195">
        <v>2545.8357599999999</v>
      </c>
      <c r="E20" s="195">
        <v>5816.8794384000003</v>
      </c>
      <c r="F20" s="195">
        <v>8228.0600977766408</v>
      </c>
      <c r="G20" s="195">
        <v>10781.002744477702</v>
      </c>
    </row>
  </sheetData>
  <phoneticPr fontId="13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9"/>
  <sheetViews>
    <sheetView workbookViewId="0">
      <selection activeCell="H29" sqref="H29:I29"/>
    </sheetView>
  </sheetViews>
  <sheetFormatPr baseColWidth="10" defaultColWidth="11.42578125" defaultRowHeight="15" x14ac:dyDescent="0.25"/>
  <cols>
    <col min="2" max="2" width="23.7109375" bestFit="1" customWidth="1"/>
    <col min="4" max="4" width="15.140625" customWidth="1"/>
    <col min="5" max="5" width="12.7109375" customWidth="1"/>
    <col min="6" max="6" width="14.42578125" customWidth="1"/>
    <col min="7" max="7" width="16.7109375" customWidth="1"/>
  </cols>
  <sheetData>
    <row r="2" spans="2:9" x14ac:dyDescent="0.25">
      <c r="C2" t="s">
        <v>4</v>
      </c>
      <c r="D2">
        <f>INVERSION!D2</f>
        <v>36265</v>
      </c>
    </row>
    <row r="5" spans="2:9" ht="15.75" thickBot="1" x14ac:dyDescent="0.3">
      <c r="B5" s="14" t="s">
        <v>8</v>
      </c>
      <c r="C5" s="61" t="s">
        <v>35</v>
      </c>
      <c r="D5" s="8" t="s">
        <v>77</v>
      </c>
      <c r="E5" s="8" t="s">
        <v>179</v>
      </c>
      <c r="F5" s="8" t="s">
        <v>180</v>
      </c>
      <c r="G5" s="8" t="s">
        <v>181</v>
      </c>
      <c r="H5" s="8" t="s">
        <v>154</v>
      </c>
      <c r="I5" s="8" t="s">
        <v>155</v>
      </c>
    </row>
    <row r="6" spans="2:9" ht="15.75" thickTop="1" x14ac:dyDescent="0.25">
      <c r="B6" s="114" t="s">
        <v>52</v>
      </c>
      <c r="C6" s="115">
        <v>54</v>
      </c>
      <c r="D6" s="9">
        <f>INVERSION!D57/DEPRECIACIÓN!$D$2</f>
        <v>0.24789742175651455</v>
      </c>
      <c r="E6" s="9">
        <f>C6*D6</f>
        <v>13.386460774851786</v>
      </c>
      <c r="F6" s="115">
        <v>5</v>
      </c>
      <c r="G6" s="115">
        <v>1</v>
      </c>
      <c r="H6" s="9">
        <f>E6/G6</f>
        <v>13.386460774851786</v>
      </c>
      <c r="I6" s="8"/>
    </row>
    <row r="7" spans="2:9" x14ac:dyDescent="0.25">
      <c r="B7" s="116" t="s">
        <v>53</v>
      </c>
      <c r="C7" s="117">
        <v>15</v>
      </c>
      <c r="D7" s="9">
        <f>INVERSION!D58/DEPRECIACIÓN!$D$2</f>
        <v>0.19274782848476493</v>
      </c>
      <c r="E7" s="9">
        <f t="shared" ref="E7:E28" si="0">C7*D7</f>
        <v>2.8912174272714739</v>
      </c>
      <c r="F7" s="117">
        <v>5</v>
      </c>
      <c r="G7" s="117">
        <v>1</v>
      </c>
      <c r="H7" s="9">
        <f t="shared" ref="H7:H28" si="1">E7/G7</f>
        <v>2.8912174272714739</v>
      </c>
      <c r="I7" s="8"/>
    </row>
    <row r="8" spans="2:9" x14ac:dyDescent="0.25">
      <c r="B8" s="114" t="s">
        <v>54</v>
      </c>
      <c r="C8" s="115">
        <v>10</v>
      </c>
      <c r="D8" s="9">
        <f>INVERSION!D59/DEPRECIACIÓN!$D$2</f>
        <v>1.4140355714876602</v>
      </c>
      <c r="E8" s="9">
        <f t="shared" si="0"/>
        <v>14.140355714876602</v>
      </c>
      <c r="F8" s="115">
        <v>5</v>
      </c>
      <c r="G8" s="115">
        <v>1</v>
      </c>
      <c r="H8" s="9">
        <f t="shared" si="1"/>
        <v>14.140355714876602</v>
      </c>
      <c r="I8" s="8"/>
    </row>
    <row r="9" spans="2:9" x14ac:dyDescent="0.25">
      <c r="B9" s="116" t="s">
        <v>55</v>
      </c>
      <c r="C9" s="117">
        <v>30</v>
      </c>
      <c r="D9" s="9">
        <f>INVERSION!D60/DEPRECIACIÓN!$D$2</f>
        <v>6.8799117606507653E-3</v>
      </c>
      <c r="E9" s="9">
        <f t="shared" si="0"/>
        <v>0.20639735281952296</v>
      </c>
      <c r="F9" s="117">
        <v>5</v>
      </c>
      <c r="G9" s="117">
        <v>1</v>
      </c>
      <c r="H9" s="9">
        <f t="shared" si="1"/>
        <v>0.20639735281952296</v>
      </c>
      <c r="I9" s="8"/>
    </row>
    <row r="10" spans="2:9" x14ac:dyDescent="0.25">
      <c r="B10" s="114" t="s">
        <v>56</v>
      </c>
      <c r="C10" s="115">
        <v>20</v>
      </c>
      <c r="D10" s="9">
        <f>INVERSION!D61/DEPRECIACIÓN!$D$2</f>
        <v>7.715428098717772E-2</v>
      </c>
      <c r="E10" s="9">
        <f t="shared" si="0"/>
        <v>1.5430856197435543</v>
      </c>
      <c r="F10" s="115">
        <v>5</v>
      </c>
      <c r="G10" s="115">
        <v>1</v>
      </c>
      <c r="H10" s="9">
        <f t="shared" si="1"/>
        <v>1.5430856197435543</v>
      </c>
      <c r="I10" s="8"/>
    </row>
    <row r="11" spans="2:9" x14ac:dyDescent="0.25">
      <c r="B11" s="116" t="s">
        <v>57</v>
      </c>
      <c r="C11" s="117">
        <v>4</v>
      </c>
      <c r="D11" s="9">
        <f>INVERSION!D62/DEPRECIACIÓN!$D$2</f>
        <v>0.19274782848476493</v>
      </c>
      <c r="E11" s="9">
        <f t="shared" si="0"/>
        <v>0.77099131393905973</v>
      </c>
      <c r="F11" s="117">
        <v>5</v>
      </c>
      <c r="G11" s="117">
        <v>1</v>
      </c>
      <c r="H11" s="9">
        <f t="shared" si="1"/>
        <v>0.77099131393905973</v>
      </c>
      <c r="I11" s="8"/>
    </row>
    <row r="12" spans="2:9" x14ac:dyDescent="0.25">
      <c r="B12" s="114" t="s">
        <v>58</v>
      </c>
      <c r="C12" s="115">
        <v>10</v>
      </c>
      <c r="D12" s="9">
        <f>INVERSION!D63/DEPRECIACIÓN!$D$2</f>
        <v>0.55122018475113743</v>
      </c>
      <c r="E12" s="9">
        <f t="shared" si="0"/>
        <v>5.5122018475113741</v>
      </c>
      <c r="F12" s="115">
        <v>5</v>
      </c>
      <c r="G12" s="115">
        <v>1</v>
      </c>
      <c r="H12" s="9">
        <f t="shared" si="1"/>
        <v>5.5122018475113741</v>
      </c>
      <c r="I12" s="8"/>
    </row>
    <row r="13" spans="2:9" x14ac:dyDescent="0.25">
      <c r="B13" s="116" t="s">
        <v>59</v>
      </c>
      <c r="C13" s="117">
        <v>10</v>
      </c>
      <c r="D13" s="9">
        <f>INVERSION!D64/DEPRECIACIÓN!$D$2</f>
        <v>0.41307045360540467</v>
      </c>
      <c r="E13" s="9">
        <f t="shared" si="0"/>
        <v>4.1307045360540471</v>
      </c>
      <c r="F13" s="117">
        <v>5</v>
      </c>
      <c r="G13" s="117">
        <v>1</v>
      </c>
      <c r="H13" s="9">
        <f t="shared" si="1"/>
        <v>4.1307045360540471</v>
      </c>
      <c r="I13" s="8"/>
    </row>
    <row r="14" spans="2:9" x14ac:dyDescent="0.25">
      <c r="B14" s="8" t="s">
        <v>45</v>
      </c>
      <c r="C14" s="8">
        <v>1</v>
      </c>
      <c r="D14" s="9">
        <f>INVERSION!D44/DEPRECIACIÓN!$D$2</f>
        <v>2.7572039156211221</v>
      </c>
      <c r="E14" s="9">
        <f t="shared" si="0"/>
        <v>2.7572039156211221</v>
      </c>
      <c r="F14" s="115">
        <v>7</v>
      </c>
      <c r="G14" s="115">
        <v>2</v>
      </c>
      <c r="H14" s="9">
        <f t="shared" si="1"/>
        <v>1.3786019578105611</v>
      </c>
      <c r="I14" s="9">
        <f>H14</f>
        <v>1.3786019578105611</v>
      </c>
    </row>
    <row r="15" spans="2:9" x14ac:dyDescent="0.25">
      <c r="B15" s="8" t="s">
        <v>46</v>
      </c>
      <c r="C15" s="8">
        <v>2</v>
      </c>
      <c r="D15" s="9">
        <f>INVERSION!D45/DEPRECIACIÓN!$D$2</f>
        <v>1.7771956431821316</v>
      </c>
      <c r="E15" s="9">
        <f t="shared" si="0"/>
        <v>3.5543912863642633</v>
      </c>
      <c r="F15" s="117">
        <v>7</v>
      </c>
      <c r="G15" s="117">
        <v>2</v>
      </c>
      <c r="H15" s="9">
        <f t="shared" si="1"/>
        <v>1.7771956431821316</v>
      </c>
      <c r="I15" s="9">
        <f t="shared" ref="I15:I16" si="2">H15</f>
        <v>1.7771956431821316</v>
      </c>
    </row>
    <row r="16" spans="2:9" x14ac:dyDescent="0.25">
      <c r="B16" s="8" t="s">
        <v>47</v>
      </c>
      <c r="C16" s="8">
        <v>1</v>
      </c>
      <c r="D16" s="9">
        <f>INVERSION!D46/DEPRECIACIÓN!$D$2</f>
        <v>1.3784640838273818</v>
      </c>
      <c r="E16" s="9">
        <f t="shared" si="0"/>
        <v>1.3784640838273818</v>
      </c>
      <c r="F16" s="115">
        <v>7</v>
      </c>
      <c r="G16" s="115">
        <v>2</v>
      </c>
      <c r="H16" s="9">
        <f t="shared" si="1"/>
        <v>0.68923204191369092</v>
      </c>
      <c r="I16" s="9">
        <f t="shared" si="2"/>
        <v>0.68923204191369092</v>
      </c>
    </row>
    <row r="17" spans="2:9" x14ac:dyDescent="0.25">
      <c r="B17" s="8" t="s">
        <v>48</v>
      </c>
      <c r="C17" s="8">
        <v>1</v>
      </c>
      <c r="D17" s="9">
        <f>INVERSION!D47/DEPRECIACIÓN!$D$2</f>
        <v>1.524886253963877</v>
      </c>
      <c r="E17" s="9">
        <f t="shared" si="0"/>
        <v>1.524886253963877</v>
      </c>
      <c r="F17" s="117">
        <v>3</v>
      </c>
      <c r="G17" s="117">
        <v>1</v>
      </c>
      <c r="H17" s="9">
        <f t="shared" si="1"/>
        <v>1.524886253963877</v>
      </c>
      <c r="I17" s="8"/>
    </row>
    <row r="18" spans="2:9" x14ac:dyDescent="0.25">
      <c r="B18" s="8" t="s">
        <v>42</v>
      </c>
      <c r="C18" s="8">
        <v>1</v>
      </c>
      <c r="D18" s="9">
        <f>INVERSION!D48/DEPRECIACIÓN!$D$2</f>
        <v>0.33062181166413895</v>
      </c>
      <c r="E18" s="9">
        <f t="shared" si="0"/>
        <v>0.33062181166413895</v>
      </c>
      <c r="F18" s="115">
        <v>3</v>
      </c>
      <c r="G18" s="115">
        <v>1</v>
      </c>
      <c r="H18" s="9">
        <f t="shared" si="1"/>
        <v>0.33062181166413895</v>
      </c>
      <c r="I18" s="8"/>
    </row>
    <row r="19" spans="2:9" x14ac:dyDescent="0.25">
      <c r="B19" s="8" t="s">
        <v>49</v>
      </c>
      <c r="C19" s="8">
        <v>2</v>
      </c>
      <c r="D19" s="9">
        <f>INVERSION!D49/DEPRECIACIÓN!$D$2</f>
        <v>1.3488487522404522</v>
      </c>
      <c r="E19" s="9">
        <f t="shared" si="0"/>
        <v>2.6976975044809044</v>
      </c>
      <c r="F19" s="117">
        <v>3</v>
      </c>
      <c r="G19" s="117">
        <v>1</v>
      </c>
      <c r="H19" s="9">
        <f t="shared" si="1"/>
        <v>2.6976975044809044</v>
      </c>
      <c r="I19" s="8"/>
    </row>
    <row r="20" spans="2:9" x14ac:dyDescent="0.25">
      <c r="B20" s="8" t="s">
        <v>50</v>
      </c>
      <c r="C20" s="8">
        <v>2</v>
      </c>
      <c r="D20" s="9">
        <f>INVERSION!D50/DEPRECIACIÓN!$D$2</f>
        <v>0.26637253550255069</v>
      </c>
      <c r="E20" s="9">
        <f t="shared" si="0"/>
        <v>0.53274507100510138</v>
      </c>
      <c r="F20" s="115">
        <v>3</v>
      </c>
      <c r="G20" s="115">
        <v>1</v>
      </c>
      <c r="H20" s="9">
        <f t="shared" si="1"/>
        <v>0.53274507100510138</v>
      </c>
      <c r="I20" s="8"/>
    </row>
    <row r="21" spans="2:9" x14ac:dyDescent="0.25">
      <c r="B21" s="8" t="s">
        <v>51</v>
      </c>
      <c r="C21" s="8">
        <v>2</v>
      </c>
      <c r="D21" s="9">
        <f>INVERSION!D51/DEPRECIACIÓN!$D$2</f>
        <v>0.39054184475389492</v>
      </c>
      <c r="E21" s="9">
        <f t="shared" si="0"/>
        <v>0.78108368950778984</v>
      </c>
      <c r="F21" s="117">
        <v>3</v>
      </c>
      <c r="G21" s="117">
        <v>1</v>
      </c>
      <c r="H21" s="9">
        <f t="shared" si="1"/>
        <v>0.78108368950778984</v>
      </c>
      <c r="I21" s="8"/>
    </row>
    <row r="22" spans="2:9" x14ac:dyDescent="0.25">
      <c r="B22" s="114" t="s">
        <v>36</v>
      </c>
      <c r="C22" s="115">
        <v>1</v>
      </c>
      <c r="D22" s="9">
        <f>INVERSION!D32/DEPRECIACIÓN!$D$2</f>
        <v>5.9834551220184755</v>
      </c>
      <c r="E22" s="9">
        <f t="shared" si="0"/>
        <v>5.9834551220184755</v>
      </c>
      <c r="F22" s="115">
        <v>7</v>
      </c>
      <c r="G22" s="115">
        <v>1</v>
      </c>
      <c r="H22" s="9">
        <f t="shared" si="1"/>
        <v>5.9834551220184755</v>
      </c>
      <c r="I22" s="8"/>
    </row>
    <row r="23" spans="2:9" x14ac:dyDescent="0.25">
      <c r="B23" s="116" t="s">
        <v>37</v>
      </c>
      <c r="C23" s="117">
        <v>1</v>
      </c>
      <c r="D23" s="9">
        <f>INVERSION!D33/DEPRECIACIÓN!$D$2</f>
        <v>1.3784640838273818</v>
      </c>
      <c r="E23" s="9">
        <f t="shared" si="0"/>
        <v>1.3784640838273818</v>
      </c>
      <c r="F23" s="117">
        <v>7</v>
      </c>
      <c r="G23" s="117">
        <v>2</v>
      </c>
      <c r="H23" s="9">
        <f t="shared" si="1"/>
        <v>0.68923204191369092</v>
      </c>
      <c r="I23" s="9">
        <f>H23</f>
        <v>0.68923204191369092</v>
      </c>
    </row>
    <row r="24" spans="2:9" x14ac:dyDescent="0.25">
      <c r="B24" s="114" t="s">
        <v>38</v>
      </c>
      <c r="C24" s="115">
        <v>1</v>
      </c>
      <c r="D24" s="9">
        <f>INVERSION!D34/DEPRECIACIÓN!$D$2</f>
        <v>11.581138839101062</v>
      </c>
      <c r="E24" s="9">
        <f t="shared" si="0"/>
        <v>11.581138839101062</v>
      </c>
      <c r="F24" s="115">
        <v>6</v>
      </c>
      <c r="G24" s="115">
        <v>2</v>
      </c>
      <c r="H24" s="9">
        <f t="shared" si="1"/>
        <v>5.7905694195505308</v>
      </c>
      <c r="I24" s="9">
        <f>H24</f>
        <v>5.7905694195505308</v>
      </c>
    </row>
    <row r="25" spans="2:9" x14ac:dyDescent="0.25">
      <c r="B25" s="116" t="s">
        <v>39</v>
      </c>
      <c r="C25" s="117">
        <v>1</v>
      </c>
      <c r="D25" s="9">
        <f>INVERSION!D35/DEPRECIACIÓN!$D$2</f>
        <v>1.5714876602785055</v>
      </c>
      <c r="E25" s="9">
        <f t="shared" si="0"/>
        <v>1.5714876602785055</v>
      </c>
      <c r="F25" s="117">
        <v>3</v>
      </c>
      <c r="G25" s="117">
        <v>1</v>
      </c>
      <c r="H25" s="9">
        <f t="shared" si="1"/>
        <v>1.5714876602785055</v>
      </c>
      <c r="I25" s="8"/>
    </row>
    <row r="26" spans="2:9" x14ac:dyDescent="0.25">
      <c r="B26" s="114" t="s">
        <v>40</v>
      </c>
      <c r="C26" s="115">
        <v>1</v>
      </c>
      <c r="D26" s="9">
        <f>INVERSION!D36/DEPRECIACIÓN!$D$2</f>
        <v>0.54873845305390878</v>
      </c>
      <c r="E26" s="9">
        <f t="shared" si="0"/>
        <v>0.54873845305390878</v>
      </c>
      <c r="F26" s="115">
        <v>3</v>
      </c>
      <c r="G26" s="115">
        <v>1</v>
      </c>
      <c r="H26" s="9">
        <f t="shared" si="1"/>
        <v>0.54873845305390878</v>
      </c>
      <c r="I26" s="8"/>
    </row>
    <row r="27" spans="2:9" x14ac:dyDescent="0.25">
      <c r="B27" s="116" t="s">
        <v>41</v>
      </c>
      <c r="C27" s="117">
        <v>1</v>
      </c>
      <c r="D27" s="9">
        <f>INVERSION!D37/DEPRECIACIÓN!$D$2</f>
        <v>1.8196608300013788</v>
      </c>
      <c r="E27" s="9">
        <f t="shared" si="0"/>
        <v>1.8196608300013788</v>
      </c>
      <c r="F27" s="117">
        <v>7</v>
      </c>
      <c r="G27" s="117">
        <v>2</v>
      </c>
      <c r="H27" s="9">
        <f t="shared" si="1"/>
        <v>0.9098304150006894</v>
      </c>
      <c r="I27" s="9">
        <f>H27</f>
        <v>0.9098304150006894</v>
      </c>
    </row>
    <row r="28" spans="2:9" x14ac:dyDescent="0.25">
      <c r="B28" s="114" t="s">
        <v>42</v>
      </c>
      <c r="C28" s="115">
        <v>1</v>
      </c>
      <c r="D28" s="9">
        <f>INVERSION!D38/DEPRECIACIÓN!$D$2</f>
        <v>0.33062181166413895</v>
      </c>
      <c r="E28" s="9">
        <f t="shared" si="0"/>
        <v>0.33062181166413895</v>
      </c>
      <c r="F28" s="118">
        <v>3</v>
      </c>
      <c r="G28" s="118">
        <v>1</v>
      </c>
      <c r="H28" s="9">
        <f t="shared" si="1"/>
        <v>0.33062181166413895</v>
      </c>
      <c r="I28" s="8"/>
    </row>
    <row r="29" spans="2:9" x14ac:dyDescent="0.25">
      <c r="B29" s="119" t="s">
        <v>18</v>
      </c>
      <c r="C29" s="48"/>
      <c r="D29" s="27"/>
      <c r="E29" s="31">
        <f>SUM(E6:E28)</f>
        <v>79.35207500344687</v>
      </c>
      <c r="F29" s="27"/>
      <c r="G29" s="27"/>
      <c r="H29" s="31">
        <f>SUM(H6:H28)</f>
        <v>68.11741348407557</v>
      </c>
      <c r="I29" s="31">
        <f>SUM(I6:I28)</f>
        <v>11.234661519371295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25"/>
  <sheetViews>
    <sheetView topLeftCell="A4" workbookViewId="0">
      <selection activeCell="K24" sqref="K24"/>
    </sheetView>
  </sheetViews>
  <sheetFormatPr baseColWidth="10" defaultColWidth="11.42578125" defaultRowHeight="15" x14ac:dyDescent="0.25"/>
  <cols>
    <col min="2" max="2" width="23" bestFit="1" customWidth="1"/>
  </cols>
  <sheetData>
    <row r="3" spans="2:8" ht="15.75" thickBot="1" x14ac:dyDescent="0.3"/>
    <row r="4" spans="2:8" ht="15.75" thickBot="1" x14ac:dyDescent="0.3">
      <c r="B4" t="s">
        <v>182</v>
      </c>
      <c r="C4" s="120">
        <v>4.3999999999999997E-2</v>
      </c>
      <c r="D4" s="88"/>
      <c r="E4" s="88"/>
      <c r="F4" s="88"/>
      <c r="G4" s="88"/>
    </row>
    <row r="6" spans="2:8" x14ac:dyDescent="0.25">
      <c r="B6" s="121" t="s">
        <v>183</v>
      </c>
      <c r="C6" s="121" t="s">
        <v>184</v>
      </c>
      <c r="D6" s="121" t="s">
        <v>110</v>
      </c>
      <c r="E6" s="121" t="s">
        <v>111</v>
      </c>
      <c r="F6" s="121" t="s">
        <v>112</v>
      </c>
      <c r="G6" s="121" t="s">
        <v>113</v>
      </c>
      <c r="H6" s="121" t="s">
        <v>114</v>
      </c>
    </row>
    <row r="7" spans="2:8" x14ac:dyDescent="0.25">
      <c r="B7" s="121" t="s">
        <v>185</v>
      </c>
      <c r="C7" s="122">
        <f>DEPRECIACIÓN!E26*(1-19%)</f>
        <v>0.44447814697366617</v>
      </c>
      <c r="D7" s="122">
        <f>INGRESOS!C10</f>
        <v>756.95999999999992</v>
      </c>
      <c r="E7" s="122">
        <f>INGRESOS!D10</f>
        <v>2545.8357599999999</v>
      </c>
      <c r="F7" s="122">
        <f>INGRESOS!E10</f>
        <v>5816.8794384000003</v>
      </c>
      <c r="G7" s="122">
        <f>INGRESOS!F10</f>
        <v>8228.0600977766408</v>
      </c>
      <c r="H7" s="122">
        <f>INGRESOS!G10</f>
        <v>10781.002744477702</v>
      </c>
    </row>
    <row r="8" spans="2:8" x14ac:dyDescent="0.25">
      <c r="B8" s="121" t="s">
        <v>186</v>
      </c>
      <c r="C8" s="123">
        <f>DEPRECIACIÓN!E27*(1-19%)</f>
        <v>1.4739252723011169</v>
      </c>
      <c r="D8" s="124">
        <f>C16</f>
        <v>121.7967737487936</v>
      </c>
      <c r="E8" s="124">
        <f t="shared" ref="E8:H8" si="0">D16</f>
        <v>127.15583179374052</v>
      </c>
      <c r="F8" s="124">
        <f t="shared" si="0"/>
        <v>132.7506883926651</v>
      </c>
      <c r="G8" s="124">
        <f t="shared" si="0"/>
        <v>138.59171868194235</v>
      </c>
      <c r="H8" s="124">
        <f t="shared" si="0"/>
        <v>144.68975430394784</v>
      </c>
    </row>
    <row r="9" spans="2:8" x14ac:dyDescent="0.25">
      <c r="B9" s="121" t="s">
        <v>187</v>
      </c>
      <c r="C9" s="123">
        <f>DEPRECIACIÓN!E28*(1-19%)</f>
        <v>0.26780366744795259</v>
      </c>
      <c r="D9" s="123"/>
      <c r="E9" s="123"/>
      <c r="F9" s="123"/>
      <c r="G9" s="123"/>
      <c r="H9" s="123"/>
    </row>
    <row r="10" spans="2:8" x14ac:dyDescent="0.25">
      <c r="B10" s="121" t="s">
        <v>188</v>
      </c>
      <c r="C10" s="125">
        <f>DEPRECIACIÓN!E29*(1-19%)</f>
        <v>64.275180752791968</v>
      </c>
      <c r="D10" s="123"/>
      <c r="E10" s="123"/>
      <c r="F10" s="123"/>
      <c r="G10" s="123"/>
      <c r="H10" s="123"/>
    </row>
    <row r="11" spans="2:8" x14ac:dyDescent="0.25">
      <c r="B11" s="121"/>
      <c r="C11" s="121"/>
      <c r="D11" s="121"/>
      <c r="E11" s="121"/>
      <c r="F11" s="121"/>
      <c r="G11" s="121"/>
      <c r="H11" s="121"/>
    </row>
    <row r="12" spans="2:8" x14ac:dyDescent="0.25">
      <c r="B12" s="121"/>
      <c r="C12" s="121"/>
      <c r="D12" s="121"/>
      <c r="E12" s="121"/>
      <c r="F12" s="121"/>
      <c r="G12" s="121"/>
      <c r="H12" s="121"/>
    </row>
    <row r="13" spans="2:8" x14ac:dyDescent="0.25">
      <c r="B13" s="121" t="s">
        <v>189</v>
      </c>
      <c r="C13" s="121" t="s">
        <v>110</v>
      </c>
      <c r="D13" s="121" t="s">
        <v>111</v>
      </c>
      <c r="E13" s="121" t="s">
        <v>112</v>
      </c>
      <c r="F13" s="121" t="s">
        <v>113</v>
      </c>
      <c r="G13" s="121" t="s">
        <v>114</v>
      </c>
      <c r="H13" s="121"/>
    </row>
    <row r="14" spans="2:8" x14ac:dyDescent="0.25">
      <c r="B14" s="121" t="s">
        <v>190</v>
      </c>
      <c r="C14" s="124">
        <f>SUM(GASTOS!V9:V13)</f>
        <v>121.7967737487936</v>
      </c>
      <c r="D14" s="124">
        <f>Tabla40[[#This Row],[AÑO 1]]*(1+$C$4)</f>
        <v>127.15583179374052</v>
      </c>
      <c r="E14" s="124">
        <f>Tabla40[[#This Row],[AÑO 2]]*(1+$C$4)</f>
        <v>132.7506883926651</v>
      </c>
      <c r="F14" s="124">
        <f>Tabla40[[#This Row],[AÑO 3]]*(1+$C$4)</f>
        <v>138.59171868194235</v>
      </c>
      <c r="G14" s="124">
        <f>Tabla40[[#This Row],[AÑO 4]]*(1+$C$4)</f>
        <v>144.68975430394784</v>
      </c>
      <c r="H14" s="121"/>
    </row>
    <row r="15" spans="2:8" x14ac:dyDescent="0.25">
      <c r="B15" s="121" t="s">
        <v>191</v>
      </c>
      <c r="C15" s="123"/>
      <c r="D15" s="123"/>
      <c r="E15" s="123"/>
      <c r="F15" s="123"/>
      <c r="G15" s="123"/>
      <c r="H15" s="121"/>
    </row>
    <row r="16" spans="2:8" x14ac:dyDescent="0.25">
      <c r="B16" s="121" t="s">
        <v>192</v>
      </c>
      <c r="C16" s="124">
        <f>C14+C15</f>
        <v>121.7967737487936</v>
      </c>
      <c r="D16" s="124">
        <f>D14+D15</f>
        <v>127.15583179374052</v>
      </c>
      <c r="E16" s="124">
        <f t="shared" ref="E16:G16" si="1">E14+E15</f>
        <v>132.7506883926651</v>
      </c>
      <c r="F16" s="124">
        <f t="shared" si="1"/>
        <v>138.59171868194235</v>
      </c>
      <c r="G16" s="124">
        <f t="shared" si="1"/>
        <v>144.68975430394784</v>
      </c>
      <c r="H16" s="121"/>
    </row>
    <row r="17" spans="2:8" x14ac:dyDescent="0.25">
      <c r="B17" s="121"/>
      <c r="C17" s="121"/>
      <c r="D17" s="121"/>
      <c r="E17" s="121"/>
      <c r="F17" s="121"/>
      <c r="G17" s="121"/>
      <c r="H17" s="121"/>
    </row>
    <row r="18" spans="2:8" x14ac:dyDescent="0.25">
      <c r="B18" s="121"/>
      <c r="C18" s="121"/>
      <c r="D18" s="121"/>
      <c r="E18" s="121"/>
      <c r="F18" s="121"/>
      <c r="G18" s="121"/>
      <c r="H18" s="121"/>
    </row>
    <row r="19" spans="2:8" x14ac:dyDescent="0.25">
      <c r="B19" s="121" t="s">
        <v>193</v>
      </c>
      <c r="C19" s="121" t="s">
        <v>184</v>
      </c>
      <c r="D19" s="121" t="s">
        <v>110</v>
      </c>
      <c r="E19" s="121" t="s">
        <v>111</v>
      </c>
      <c r="F19" s="121" t="s">
        <v>112</v>
      </c>
      <c r="G19" s="121" t="s">
        <v>113</v>
      </c>
      <c r="H19" s="121" t="s">
        <v>114</v>
      </c>
    </row>
    <row r="20" spans="2:8" x14ac:dyDescent="0.25">
      <c r="B20" s="121" t="s">
        <v>194</v>
      </c>
      <c r="C20" s="122"/>
      <c r="D20" s="122">
        <f>D7*19%</f>
        <v>143.82239999999999</v>
      </c>
      <c r="E20" s="122">
        <f t="shared" ref="E20:H21" si="2">E7*19%</f>
        <v>483.70879439999999</v>
      </c>
      <c r="F20" s="122">
        <f>F7*19%</f>
        <v>1105.207093296</v>
      </c>
      <c r="G20" s="122">
        <f t="shared" si="2"/>
        <v>1563.3314185775619</v>
      </c>
      <c r="H20" s="122">
        <f t="shared" si="2"/>
        <v>2048.3905214507636</v>
      </c>
    </row>
    <row r="21" spans="2:8" x14ac:dyDescent="0.25">
      <c r="B21" s="121" t="s">
        <v>195</v>
      </c>
      <c r="C21" s="122"/>
      <c r="D21" s="126">
        <f>D8*19%</f>
        <v>23.141387012270783</v>
      </c>
      <c r="E21" s="126">
        <f>E8*19%</f>
        <v>24.159608040810699</v>
      </c>
      <c r="F21" s="126">
        <f t="shared" si="2"/>
        <v>25.222630794606367</v>
      </c>
      <c r="G21" s="126">
        <f>G8*19%</f>
        <v>26.332426549569046</v>
      </c>
      <c r="H21" s="126">
        <f t="shared" si="2"/>
        <v>27.49105331775009</v>
      </c>
    </row>
    <row r="22" spans="2:8" x14ac:dyDescent="0.25">
      <c r="B22" s="121" t="s">
        <v>196</v>
      </c>
      <c r="C22" s="122">
        <f>C10*19%</f>
        <v>12.212284343030474</v>
      </c>
      <c r="D22" s="122"/>
      <c r="E22" s="122"/>
      <c r="F22" s="122"/>
      <c r="G22" s="122"/>
      <c r="H22" s="122"/>
    </row>
    <row r="23" spans="2:8" x14ac:dyDescent="0.25">
      <c r="B23" s="121" t="s">
        <v>197</v>
      </c>
      <c r="C23" s="122">
        <f>-C22</f>
        <v>-12.212284343030474</v>
      </c>
      <c r="D23" s="122">
        <f>D20-D21</f>
        <v>120.6810129877292</v>
      </c>
      <c r="E23" s="122">
        <f t="shared" ref="E23:H23" si="3">E20-E21</f>
        <v>459.54918635918926</v>
      </c>
      <c r="F23" s="122">
        <f>F20-F21</f>
        <v>1079.9844625013936</v>
      </c>
      <c r="G23" s="122">
        <f t="shared" si="3"/>
        <v>1536.9989920279929</v>
      </c>
      <c r="H23" s="122">
        <f t="shared" si="3"/>
        <v>2020.8994681330134</v>
      </c>
    </row>
    <row r="24" spans="2:8" ht="15.75" thickBot="1" x14ac:dyDescent="0.3">
      <c r="B24" s="121" t="s">
        <v>198</v>
      </c>
      <c r="C24" s="122"/>
      <c r="D24" s="122">
        <f>D23+C23</f>
        <v>108.46872864469873</v>
      </c>
      <c r="E24" s="122">
        <f>E23</f>
        <v>459.54918635918926</v>
      </c>
      <c r="F24" s="122">
        <f t="shared" ref="F24:H24" si="4">F23</f>
        <v>1079.9844625013936</v>
      </c>
      <c r="G24" s="122">
        <f t="shared" si="4"/>
        <v>1536.9989920279929</v>
      </c>
      <c r="H24" s="122">
        <f t="shared" si="4"/>
        <v>2020.8994681330134</v>
      </c>
    </row>
    <row r="25" spans="2:8" ht="15.75" thickBot="1" x14ac:dyDescent="0.3">
      <c r="B25" s="121" t="s">
        <v>199</v>
      </c>
      <c r="C25" s="122"/>
      <c r="D25" s="196">
        <f>C22</f>
        <v>12.212284343030474</v>
      </c>
      <c r="E25" s="122"/>
      <c r="F25" s="122"/>
      <c r="G25" s="122"/>
      <c r="H25" s="122"/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70"/>
  <sheetViews>
    <sheetView zoomScale="71" workbookViewId="0">
      <selection activeCell="H52" sqref="H52"/>
    </sheetView>
  </sheetViews>
  <sheetFormatPr baseColWidth="10" defaultColWidth="11.42578125" defaultRowHeight="15" x14ac:dyDescent="0.25"/>
  <cols>
    <col min="2" max="2" width="39.28515625" bestFit="1" customWidth="1"/>
    <col min="3" max="3" width="7.85546875" bestFit="1" customWidth="1"/>
    <col min="4" max="7" width="6.85546875" bestFit="1" customWidth="1"/>
    <col min="8" max="8" width="7.28515625" bestFit="1" customWidth="1"/>
    <col min="9" max="9" width="17.42578125" bestFit="1" customWidth="1"/>
    <col min="12" max="12" width="20.140625" bestFit="1" customWidth="1"/>
    <col min="13" max="13" width="17.7109375" bestFit="1" customWidth="1"/>
    <col min="14" max="14" width="8.7109375" bestFit="1" customWidth="1"/>
    <col min="15" max="15" width="5.7109375" bestFit="1" customWidth="1"/>
    <col min="16" max="16" width="5.42578125" customWidth="1"/>
  </cols>
  <sheetData>
    <row r="3" spans="2:8" ht="15.75" thickBot="1" x14ac:dyDescent="0.3"/>
    <row r="4" spans="2:8" ht="16.5" thickBot="1" x14ac:dyDescent="0.3">
      <c r="B4" s="370" t="s">
        <v>200</v>
      </c>
      <c r="C4" s="371">
        <v>0.25</v>
      </c>
      <c r="D4" s="372">
        <v>0.125</v>
      </c>
      <c r="E4" s="371">
        <v>0.25</v>
      </c>
      <c r="F4" s="371">
        <v>0.25</v>
      </c>
      <c r="G4" s="371">
        <v>0.25</v>
      </c>
      <c r="H4" s="373">
        <v>0.25</v>
      </c>
    </row>
    <row r="5" spans="2:8" ht="16.5" thickTop="1" x14ac:dyDescent="0.25">
      <c r="B5" s="374"/>
      <c r="C5" s="199" t="s">
        <v>201</v>
      </c>
      <c r="D5" s="199">
        <v>1</v>
      </c>
      <c r="E5" s="199">
        <v>2</v>
      </c>
      <c r="F5" s="199">
        <v>3</v>
      </c>
      <c r="G5" s="199">
        <v>4</v>
      </c>
      <c r="H5" s="375">
        <v>5</v>
      </c>
    </row>
    <row r="6" spans="2:8" ht="15.75" x14ac:dyDescent="0.25">
      <c r="B6" s="376" t="s">
        <v>202</v>
      </c>
      <c r="C6" s="200"/>
      <c r="D6" s="201">
        <f>INGRESOS!C10</f>
        <v>756.95999999999992</v>
      </c>
      <c r="E6" s="201">
        <f>INGRESOS!D10</f>
        <v>2545.8357599999999</v>
      </c>
      <c r="F6" s="201">
        <f>INGRESOS!E10</f>
        <v>5816.8794384000003</v>
      </c>
      <c r="G6" s="201">
        <f>INGRESOS!F10</f>
        <v>8228.0600977766408</v>
      </c>
      <c r="H6" s="377">
        <f>INGRESOS!G10</f>
        <v>10781.002744477702</v>
      </c>
    </row>
    <row r="7" spans="2:8" ht="15.75" x14ac:dyDescent="0.25">
      <c r="B7" s="376" t="s">
        <v>203</v>
      </c>
      <c r="C7" s="202"/>
      <c r="D7" s="203">
        <f>-GASTOS!AA12</f>
        <v>-251.4821453191783</v>
      </c>
      <c r="E7" s="203">
        <f>-GASTOS!AB12</f>
        <v>-355.82870536329796</v>
      </c>
      <c r="F7" s="203">
        <f>-GASTOS!AC12</f>
        <v>-474.24502964290639</v>
      </c>
      <c r="G7" s="203">
        <f>-GASTOS!AD12</f>
        <v>-584.01136081621405</v>
      </c>
      <c r="H7" s="378">
        <f>-GASTOS!AE12</f>
        <v>-791.10194402316279</v>
      </c>
    </row>
    <row r="8" spans="2:8" ht="16.5" thickBot="1" x14ac:dyDescent="0.3">
      <c r="B8" s="379" t="s">
        <v>204</v>
      </c>
      <c r="C8" s="204"/>
      <c r="D8" s="205">
        <f>-GASTOS!T28</f>
        <v>-1036.7499682889841</v>
      </c>
      <c r="E8" s="205">
        <f>-GASTOS!U28</f>
        <v>-1081.483470409486</v>
      </c>
      <c r="F8" s="205">
        <f>-GASTOS!V28</f>
        <v>-1128.1481397709531</v>
      </c>
      <c r="G8" s="205">
        <f>-GASTOS!W28</f>
        <v>-1176.8273892441894</v>
      </c>
      <c r="H8" s="380">
        <f>-GASTOS!X28</f>
        <v>-1227.6082364098274</v>
      </c>
    </row>
    <row r="9" spans="2:8" ht="17.25" thickTop="1" thickBot="1" x14ac:dyDescent="0.3">
      <c r="B9" s="381" t="s">
        <v>205</v>
      </c>
      <c r="C9" s="206"/>
      <c r="D9" s="207">
        <f>SUM(D6:D8)</f>
        <v>-531.2721136081625</v>
      </c>
      <c r="E9" s="207">
        <f>SUM(E6:E8)</f>
        <v>1108.5235842272159</v>
      </c>
      <c r="F9" s="207">
        <f t="shared" ref="F9:G9" si="0">SUM(F6:F8)</f>
        <v>4214.4862689861411</v>
      </c>
      <c r="G9" s="207">
        <f t="shared" si="0"/>
        <v>6467.2213477162377</v>
      </c>
      <c r="H9" s="382">
        <f>SUM(H6:H8)</f>
        <v>8762.292564044712</v>
      </c>
    </row>
    <row r="10" spans="2:8" ht="16.5" thickTop="1" x14ac:dyDescent="0.25">
      <c r="B10" s="383" t="s">
        <v>206</v>
      </c>
      <c r="C10" s="208"/>
      <c r="D10" s="210">
        <f>-DEPRECIACIÓN!H29</f>
        <v>-68.11741348407557</v>
      </c>
      <c r="E10" s="210">
        <f>-DEPRECIACIÓN!I29</f>
        <v>-11.234661519371295</v>
      </c>
      <c r="F10" s="209"/>
      <c r="G10" s="210"/>
      <c r="H10" s="384"/>
    </row>
    <row r="11" spans="2:8" ht="15.75" x14ac:dyDescent="0.25">
      <c r="B11" s="376" t="s">
        <v>207</v>
      </c>
      <c r="C11" s="202"/>
      <c r="D11" s="203"/>
      <c r="E11" s="203"/>
      <c r="F11" s="203"/>
      <c r="G11" s="203"/>
      <c r="H11" s="378"/>
    </row>
    <row r="12" spans="2:8" ht="15.75" x14ac:dyDescent="0.25">
      <c r="B12" s="376" t="s">
        <v>208</v>
      </c>
      <c r="C12" s="200"/>
      <c r="D12" s="211"/>
      <c r="E12" s="368">
        <f>-P48</f>
        <v>-36.853247877824629</v>
      </c>
      <c r="F12" s="211"/>
      <c r="G12" s="211"/>
      <c r="H12" s="385"/>
    </row>
    <row r="13" spans="2:8" ht="15.75" x14ac:dyDescent="0.25">
      <c r="B13" s="376" t="s">
        <v>209</v>
      </c>
      <c r="C13" s="202"/>
      <c r="D13" s="212"/>
      <c r="E13" s="203">
        <f>D16</f>
        <v>-599.38952709223804</v>
      </c>
      <c r="F13" s="212"/>
      <c r="G13" s="212"/>
      <c r="H13" s="386"/>
    </row>
    <row r="14" spans="2:8" ht="15.75" x14ac:dyDescent="0.25">
      <c r="B14" s="376" t="s">
        <v>210</v>
      </c>
      <c r="C14" s="200"/>
      <c r="D14" s="211"/>
      <c r="E14" s="211"/>
      <c r="F14" s="211"/>
      <c r="G14" s="211"/>
      <c r="H14" s="385"/>
    </row>
    <row r="15" spans="2:8" ht="16.5" thickBot="1" x14ac:dyDescent="0.3">
      <c r="B15" s="379" t="s">
        <v>211</v>
      </c>
      <c r="C15" s="213"/>
      <c r="D15" s="214"/>
      <c r="E15" s="214"/>
      <c r="F15" s="214"/>
      <c r="G15" s="214"/>
      <c r="H15" s="387"/>
    </row>
    <row r="16" spans="2:8" ht="17.25" thickTop="1" thickBot="1" x14ac:dyDescent="0.3">
      <c r="B16" s="381" t="s">
        <v>212</v>
      </c>
      <c r="C16" s="215"/>
      <c r="D16" s="216">
        <f>SUM(D9:D15)</f>
        <v>-599.38952709223804</v>
      </c>
      <c r="E16" s="216">
        <f>SUM(E9:E15)</f>
        <v>461.04614773778212</v>
      </c>
      <c r="F16" s="216">
        <f>SUM(F9:F15)</f>
        <v>4214.4862689861411</v>
      </c>
      <c r="G16" s="216">
        <f>SUM(G9:G15)</f>
        <v>6467.2213477162377</v>
      </c>
      <c r="H16" s="388">
        <f>SUM(H9:H15)</f>
        <v>8762.292564044712</v>
      </c>
    </row>
    <row r="17" spans="2:8" ht="17.25" thickTop="1" thickBot="1" x14ac:dyDescent="0.3">
      <c r="B17" s="389" t="s">
        <v>213</v>
      </c>
      <c r="C17" s="217"/>
      <c r="D17" s="218"/>
      <c r="E17" s="218">
        <f>-E16*E4</f>
        <v>-115.26153693444553</v>
      </c>
      <c r="F17" s="218">
        <f t="shared" ref="F17:H17" si="1">-F16*F4</f>
        <v>-1053.6215672465353</v>
      </c>
      <c r="G17" s="218">
        <f t="shared" si="1"/>
        <v>-1616.8053369290594</v>
      </c>
      <c r="H17" s="390">
        <f t="shared" si="1"/>
        <v>-2190.573141011178</v>
      </c>
    </row>
    <row r="18" spans="2:8" ht="17.25" thickTop="1" thickBot="1" x14ac:dyDescent="0.3">
      <c r="B18" s="381" t="s">
        <v>214</v>
      </c>
      <c r="C18" s="219"/>
      <c r="D18" s="220">
        <f>SUM(D16:D17)</f>
        <v>-599.38952709223804</v>
      </c>
      <c r="E18" s="220">
        <f t="shared" ref="E18:G18" si="2">SUM(E16:E17)</f>
        <v>345.78461080333659</v>
      </c>
      <c r="F18" s="220">
        <f t="shared" si="2"/>
        <v>3160.8647017396061</v>
      </c>
      <c r="G18" s="220">
        <f t="shared" si="2"/>
        <v>4850.4160107871785</v>
      </c>
      <c r="H18" s="391">
        <f>SUM(H16:H17)</f>
        <v>6571.7194230335335</v>
      </c>
    </row>
    <row r="19" spans="2:8" ht="16.5" thickTop="1" x14ac:dyDescent="0.25">
      <c r="B19" s="383" t="s">
        <v>206</v>
      </c>
      <c r="C19" s="221"/>
      <c r="D19" s="223">
        <f>-D10</f>
        <v>68.11741348407557</v>
      </c>
      <c r="E19" s="223">
        <f>-E10</f>
        <v>11.234661519371295</v>
      </c>
      <c r="F19" s="222"/>
      <c r="G19" s="223"/>
      <c r="H19" s="392"/>
    </row>
    <row r="20" spans="2:8" ht="15.75" x14ac:dyDescent="0.25">
      <c r="B20" s="376" t="s">
        <v>209</v>
      </c>
      <c r="C20" s="200"/>
      <c r="D20" s="211"/>
      <c r="E20" s="201">
        <f>-E13</f>
        <v>599.38952709223804</v>
      </c>
      <c r="F20" s="211"/>
      <c r="G20" s="211"/>
      <c r="H20" s="385"/>
    </row>
    <row r="21" spans="2:8" ht="15.75" x14ac:dyDescent="0.25">
      <c r="B21" s="376" t="s">
        <v>211</v>
      </c>
      <c r="C21" s="202"/>
      <c r="D21" s="212"/>
      <c r="E21" s="212"/>
      <c r="F21" s="212"/>
      <c r="G21" s="212"/>
      <c r="H21" s="386"/>
    </row>
    <row r="22" spans="2:8" ht="15.75" x14ac:dyDescent="0.25">
      <c r="B22" s="376" t="s">
        <v>215</v>
      </c>
      <c r="C22" s="200"/>
      <c r="D22" s="224"/>
      <c r="E22" s="224"/>
      <c r="F22" s="224"/>
      <c r="G22" s="224"/>
      <c r="H22" s="393"/>
    </row>
    <row r="23" spans="2:8" ht="15.75" x14ac:dyDescent="0.25">
      <c r="B23" s="376" t="s">
        <v>216</v>
      </c>
      <c r="C23" s="202"/>
      <c r="D23" s="212"/>
      <c r="E23" s="369">
        <f>-D32</f>
        <v>-519.05982926513207</v>
      </c>
      <c r="F23" s="212"/>
      <c r="G23" s="212"/>
      <c r="H23" s="386"/>
    </row>
    <row r="24" spans="2:8" ht="15.75" x14ac:dyDescent="0.25">
      <c r="B24" s="376" t="s">
        <v>217</v>
      </c>
      <c r="C24" s="225">
        <f>-INVERSION!I8</f>
        <v>-144.09797325244728</v>
      </c>
      <c r="D24" s="211"/>
      <c r="E24" s="211"/>
      <c r="F24" s="211"/>
      <c r="G24" s="211"/>
      <c r="H24" s="385"/>
    </row>
    <row r="25" spans="2:8" ht="31.5" x14ac:dyDescent="0.25">
      <c r="B25" s="376" t="s">
        <v>218</v>
      </c>
      <c r="C25" s="226">
        <f>-INVERSION!I10-INVERSION!I11</f>
        <v>-142.03322762994623</v>
      </c>
      <c r="D25" s="212"/>
      <c r="E25" s="212"/>
      <c r="F25" s="212"/>
      <c r="G25" s="212"/>
      <c r="H25" s="386"/>
    </row>
    <row r="26" spans="2:8" ht="15.75" x14ac:dyDescent="0.25">
      <c r="B26" s="376" t="s">
        <v>219</v>
      </c>
      <c r="C26" s="227">
        <f>-INVERSION!I9</f>
        <v>-565.52133186267747</v>
      </c>
      <c r="D26" s="211"/>
      <c r="E26" s="211"/>
      <c r="F26" s="211"/>
      <c r="G26" s="211"/>
      <c r="H26" s="385"/>
    </row>
    <row r="27" spans="2:8" ht="15.75" x14ac:dyDescent="0.25">
      <c r="B27" s="376" t="s">
        <v>220</v>
      </c>
      <c r="C27" s="202"/>
      <c r="D27" s="212"/>
      <c r="E27" s="212"/>
      <c r="F27" s="212"/>
      <c r="G27" s="212"/>
      <c r="H27" s="386">
        <f>-C26</f>
        <v>565.52133186267747</v>
      </c>
    </row>
    <row r="28" spans="2:8" ht="15.75" x14ac:dyDescent="0.25">
      <c r="B28" s="376" t="s">
        <v>221</v>
      </c>
      <c r="C28" s="200"/>
      <c r="D28" s="211"/>
      <c r="E28" s="211"/>
      <c r="F28" s="211"/>
      <c r="G28" s="211"/>
      <c r="H28" s="385"/>
    </row>
    <row r="29" spans="2:8" ht="16.5" thickBot="1" x14ac:dyDescent="0.3">
      <c r="B29" s="379" t="s">
        <v>222</v>
      </c>
      <c r="C29" s="213"/>
      <c r="D29" s="228">
        <f>'RECUPERACIÓN DE IVA'!D25</f>
        <v>12.212284343030474</v>
      </c>
      <c r="E29" s="214"/>
      <c r="F29" s="214"/>
      <c r="G29" s="214"/>
      <c r="H29" s="387"/>
    </row>
    <row r="30" spans="2:8" ht="17.25" thickTop="1" thickBot="1" x14ac:dyDescent="0.3">
      <c r="B30" s="381" t="s">
        <v>223</v>
      </c>
      <c r="C30" s="229">
        <f>SUM(C18:C29)</f>
        <v>-851.65253274507097</v>
      </c>
      <c r="D30" s="230">
        <f>SUM(D18:D29)</f>
        <v>-519.05982926513207</v>
      </c>
      <c r="E30" s="230">
        <f>SUM(E18:E29)</f>
        <v>437.34897014981379</v>
      </c>
      <c r="F30" s="230">
        <f t="shared" ref="F30:G30" si="3">SUM(F18:F29)</f>
        <v>3160.8647017396061</v>
      </c>
      <c r="G30" s="230">
        <f t="shared" si="3"/>
        <v>4850.4160107871785</v>
      </c>
      <c r="H30" s="394">
        <f>SUM(H18:H29)</f>
        <v>7137.240754896211</v>
      </c>
    </row>
    <row r="31" spans="2:8" ht="16.5" thickTop="1" x14ac:dyDescent="0.25">
      <c r="B31" s="383" t="s">
        <v>224</v>
      </c>
      <c r="C31" s="221"/>
      <c r="D31" s="231"/>
      <c r="E31" s="231"/>
      <c r="F31" s="231"/>
      <c r="G31" s="231"/>
      <c r="H31" s="395"/>
    </row>
    <row r="32" spans="2:8" ht="16.5" thickBot="1" x14ac:dyDescent="0.3">
      <c r="B32" s="379" t="s">
        <v>225</v>
      </c>
      <c r="C32" s="204"/>
      <c r="D32" s="232">
        <f>-D30</f>
        <v>519.05982926513207</v>
      </c>
      <c r="E32" s="232"/>
      <c r="F32" s="232"/>
      <c r="G32" s="232"/>
      <c r="H32" s="396"/>
    </row>
    <row r="33" spans="2:16" ht="17.25" thickTop="1" thickBot="1" x14ac:dyDescent="0.3">
      <c r="B33" s="381" t="s">
        <v>226</v>
      </c>
      <c r="C33" s="233">
        <f>SUM(C30:C32)</f>
        <v>-851.65253274507097</v>
      </c>
      <c r="D33" s="234">
        <f>SUM(D30:D32)</f>
        <v>0</v>
      </c>
      <c r="E33" s="234">
        <f t="shared" ref="E33:H33" si="4">SUM(E30:E32)</f>
        <v>437.34897014981379</v>
      </c>
      <c r="F33" s="234">
        <f t="shared" si="4"/>
        <v>3160.8647017396061</v>
      </c>
      <c r="G33" s="234">
        <f t="shared" si="4"/>
        <v>4850.4160107871785</v>
      </c>
      <c r="H33" s="397">
        <f t="shared" si="4"/>
        <v>7137.240754896211</v>
      </c>
    </row>
    <row r="34" spans="2:16" ht="33" thickTop="1" thickBot="1" x14ac:dyDescent="0.3">
      <c r="B34" s="389" t="s">
        <v>227</v>
      </c>
      <c r="C34" s="235">
        <f>C33</f>
        <v>-851.65253274507097</v>
      </c>
      <c r="D34" s="236">
        <f>D33/(1+$C$49)^D5</f>
        <v>0</v>
      </c>
      <c r="E34" s="236">
        <f t="shared" ref="E34:H34" si="5">E33/(1+$C$49)^E5</f>
        <v>360.08237631026873</v>
      </c>
      <c r="F34" s="236">
        <f t="shared" si="5"/>
        <v>2361.3836032865502</v>
      </c>
      <c r="G34" s="236">
        <f t="shared" si="5"/>
        <v>3287.9598405754955</v>
      </c>
      <c r="H34" s="398">
        <f t="shared" si="5"/>
        <v>4390.0022336067123</v>
      </c>
    </row>
    <row r="35" spans="2:16" ht="33" thickTop="1" thickBot="1" x14ac:dyDescent="0.3">
      <c r="B35" s="399" t="s">
        <v>228</v>
      </c>
      <c r="C35" s="400">
        <f>C34</f>
        <v>-851.65253274507097</v>
      </c>
      <c r="D35" s="401">
        <f>C35+D34</f>
        <v>-851.65253274507097</v>
      </c>
      <c r="E35" s="401">
        <f>D35+E34</f>
        <v>-491.57015643480224</v>
      </c>
      <c r="F35" s="401">
        <f>E35+F34</f>
        <v>1869.8134468517478</v>
      </c>
      <c r="G35" s="401">
        <f t="shared" ref="G35" si="6">F35+G34</f>
        <v>5157.7732874272433</v>
      </c>
      <c r="H35" s="402">
        <f>G35+H34</f>
        <v>9547.7755210339565</v>
      </c>
    </row>
    <row r="38" spans="2:16" ht="15.75" thickBot="1" x14ac:dyDescent="0.3"/>
    <row r="39" spans="2:16" ht="16.5" thickBot="1" x14ac:dyDescent="0.3">
      <c r="B39" s="32"/>
      <c r="C39" s="317">
        <v>0.5</v>
      </c>
    </row>
    <row r="40" spans="2:16" ht="16.5" thickBot="1" x14ac:dyDescent="0.3">
      <c r="B40" s="33"/>
      <c r="C40" s="319">
        <f>D32</f>
        <v>519.05982926513207</v>
      </c>
      <c r="L40" s="8" t="s">
        <v>229</v>
      </c>
      <c r="M40" s="8" t="s">
        <v>230</v>
      </c>
      <c r="N40" s="8" t="s">
        <v>231</v>
      </c>
      <c r="O40" s="8" t="s">
        <v>232</v>
      </c>
      <c r="P40" s="8" t="s">
        <v>233</v>
      </c>
    </row>
    <row r="41" spans="2:16" ht="16.5" thickBot="1" x14ac:dyDescent="0.3">
      <c r="B41" s="33"/>
      <c r="C41" s="320">
        <v>7.0999999999999994E-2</v>
      </c>
      <c r="L41" s="8" t="s">
        <v>234</v>
      </c>
      <c r="M41" s="334">
        <f>C49</f>
        <v>0.10208</v>
      </c>
      <c r="N41" s="10">
        <f>C54</f>
        <v>9547.7755210339565</v>
      </c>
      <c r="O41" s="331">
        <f>C55</f>
        <v>1.1089070701630361</v>
      </c>
      <c r="P41" s="8">
        <v>3</v>
      </c>
    </row>
    <row r="42" spans="2:16" ht="16.5" thickBot="1" x14ac:dyDescent="0.3">
      <c r="B42" s="33"/>
      <c r="C42" s="321">
        <v>1</v>
      </c>
      <c r="L42" s="8" t="s">
        <v>235</v>
      </c>
      <c r="M42" s="334">
        <f>'PROYECTO FINAN 50'!C48</f>
        <v>7.7664999999999998E-2</v>
      </c>
      <c r="N42" s="10">
        <f>'PROYECTO FINAN 50'!C53</f>
        <v>10586.094576999512</v>
      </c>
      <c r="O42" s="331">
        <f>'PROYECTO FINAN 50'!C54</f>
        <v>1.5027740670816381</v>
      </c>
      <c r="P42" s="8">
        <v>3</v>
      </c>
    </row>
    <row r="43" spans="2:16" ht="16.5" thickBot="1" x14ac:dyDescent="0.3">
      <c r="B43" s="33"/>
      <c r="C43" s="322">
        <f>$C$40*(($C$41*(1+$C$41)^$C$42/((1+$C$41)^$C$42-1)))</f>
        <v>555.91307714295669</v>
      </c>
      <c r="L43" s="8" t="s">
        <v>236</v>
      </c>
      <c r="M43" s="334">
        <f>'PROYECTO FINAN 75'!C48</f>
        <v>6.5457500000000002E-2</v>
      </c>
      <c r="N43" s="10">
        <f>'PROYECTO FINAN 75'!C53</f>
        <v>11130.92053949245</v>
      </c>
      <c r="O43" s="331">
        <f>'PROYECTO FINAN 75'!C54</f>
        <v>2.0023308422854917</v>
      </c>
      <c r="P43" s="8">
        <v>3</v>
      </c>
    </row>
    <row r="44" spans="2:16" ht="16.5" thickBot="1" x14ac:dyDescent="0.3">
      <c r="B44" s="33"/>
      <c r="C44" s="127">
        <f>100%-C39</f>
        <v>0.5</v>
      </c>
    </row>
    <row r="45" spans="2:16" ht="17.25" thickBot="1" x14ac:dyDescent="0.35">
      <c r="B45" s="34"/>
      <c r="C45" s="35"/>
    </row>
    <row r="46" spans="2:16" ht="15.75" thickBot="1" x14ac:dyDescent="0.3">
      <c r="B46" s="36"/>
      <c r="C46" s="37"/>
      <c r="L46" s="141"/>
      <c r="M46" s="142" t="s">
        <v>237</v>
      </c>
      <c r="N46" s="141"/>
      <c r="P46" s="322">
        <f>$C$40*(($C$41*(1+$C$41)^$C$42/((1+$C$41)^$C$42-1)))</f>
        <v>555.91307714295669</v>
      </c>
    </row>
    <row r="47" spans="2:16" ht="16.5" thickBot="1" x14ac:dyDescent="0.3">
      <c r="B47" s="38" t="s">
        <v>238</v>
      </c>
      <c r="C47" s="39">
        <f>C50+(C51-C50)*C52</f>
        <v>5.2080000000000001E-2</v>
      </c>
      <c r="L47" s="143" t="s">
        <v>239</v>
      </c>
      <c r="M47" s="143" t="s">
        <v>240</v>
      </c>
      <c r="N47" s="143" t="s">
        <v>241</v>
      </c>
    </row>
    <row r="48" spans="2:16" ht="16.5" thickBot="1" x14ac:dyDescent="0.3">
      <c r="B48" s="128" t="s">
        <v>242</v>
      </c>
      <c r="C48" s="359">
        <v>0.05</v>
      </c>
      <c r="L48" s="144">
        <v>0.15</v>
      </c>
      <c r="M48" s="145"/>
      <c r="N48" s="146">
        <f t="shared" ref="N48:N54" si="7">(M48-$M$51)/$M$51</f>
        <v>-1</v>
      </c>
      <c r="P48" s="24">
        <f>P46-D32</f>
        <v>36.853247877824629</v>
      </c>
    </row>
    <row r="49" spans="2:16" ht="16.5" thickBot="1" x14ac:dyDescent="0.3">
      <c r="B49" s="128" t="s">
        <v>243</v>
      </c>
      <c r="C49" s="359">
        <f>C47+C48</f>
        <v>0.10208</v>
      </c>
      <c r="L49" s="144">
        <v>0.1</v>
      </c>
      <c r="M49" s="145"/>
      <c r="N49" s="146">
        <f t="shared" si="7"/>
        <v>-1</v>
      </c>
    </row>
    <row r="50" spans="2:16" ht="16.5" thickBot="1" x14ac:dyDescent="0.3">
      <c r="B50" s="40" t="s">
        <v>244</v>
      </c>
      <c r="C50" s="41">
        <v>1.41E-2</v>
      </c>
      <c r="E50" s="88"/>
      <c r="L50" s="144">
        <v>0.05</v>
      </c>
      <c r="M50" s="145"/>
      <c r="N50" s="146">
        <f t="shared" si="7"/>
        <v>-1</v>
      </c>
    </row>
    <row r="51" spans="2:16" ht="16.5" thickBot="1" x14ac:dyDescent="0.3">
      <c r="B51" s="40" t="s">
        <v>245</v>
      </c>
      <c r="C51" s="41">
        <v>5.6300000000000003E-2</v>
      </c>
      <c r="L51" s="144">
        <v>0</v>
      </c>
      <c r="M51" s="145">
        <f>C54</f>
        <v>9547.7755210339565</v>
      </c>
      <c r="N51" s="146">
        <f t="shared" si="7"/>
        <v>0</v>
      </c>
    </row>
    <row r="52" spans="2:16" ht="16.5" thickBot="1" x14ac:dyDescent="0.3">
      <c r="B52" s="40" t="s">
        <v>246</v>
      </c>
      <c r="C52" s="42">
        <v>0.9</v>
      </c>
      <c r="L52" s="144">
        <v>-0.05</v>
      </c>
      <c r="M52" s="145"/>
      <c r="N52" s="146">
        <f t="shared" si="7"/>
        <v>-1</v>
      </c>
    </row>
    <row r="53" spans="2:16" ht="15.75" thickBot="1" x14ac:dyDescent="0.3">
      <c r="B53" s="43"/>
      <c r="C53" s="43"/>
      <c r="L53" s="144">
        <v>-0.1</v>
      </c>
      <c r="M53" s="145"/>
      <c r="N53" s="146">
        <f t="shared" si="7"/>
        <v>-1</v>
      </c>
    </row>
    <row r="54" spans="2:16" ht="16.5" thickBot="1" x14ac:dyDescent="0.3">
      <c r="B54" s="40" t="s">
        <v>240</v>
      </c>
      <c r="C54" s="44">
        <f>NPV(C49,D33:H33)+C33</f>
        <v>9547.7755210339565</v>
      </c>
      <c r="L54" s="144">
        <v>-0.15</v>
      </c>
      <c r="M54" s="145"/>
      <c r="N54" s="146">
        <f t="shared" si="7"/>
        <v>-1</v>
      </c>
    </row>
    <row r="55" spans="2:16" ht="16.5" thickBot="1" x14ac:dyDescent="0.3">
      <c r="B55" s="40" t="s">
        <v>232</v>
      </c>
      <c r="C55" s="129">
        <f>IRR(C33:H33)</f>
        <v>1.1089070701630361</v>
      </c>
      <c r="L55" s="360"/>
      <c r="M55" s="361"/>
      <c r="N55" s="362"/>
    </row>
    <row r="56" spans="2:16" ht="16.5" thickBot="1" x14ac:dyDescent="0.3">
      <c r="B56" s="128" t="s">
        <v>233</v>
      </c>
      <c r="C56" s="352">
        <v>3</v>
      </c>
      <c r="L56" s="360"/>
      <c r="M56" s="361"/>
      <c r="N56" s="362"/>
    </row>
    <row r="57" spans="2:16" ht="15.75" thickBot="1" x14ac:dyDescent="0.3"/>
    <row r="58" spans="2:16" ht="15.75" thickBot="1" x14ac:dyDescent="0.3">
      <c r="B58" s="152" t="s">
        <v>247</v>
      </c>
      <c r="C58" s="153">
        <v>0</v>
      </c>
    </row>
    <row r="59" spans="2:16" ht="15.75" thickBot="1" x14ac:dyDescent="0.3">
      <c r="B59" s="152" t="s">
        <v>248</v>
      </c>
      <c r="C59" s="153">
        <v>0</v>
      </c>
      <c r="M59" s="147" t="s">
        <v>249</v>
      </c>
      <c r="O59" s="148" t="s">
        <v>187</v>
      </c>
      <c r="P59" s="147" t="s">
        <v>250</v>
      </c>
    </row>
    <row r="60" spans="2:16" ht="15.75" thickBot="1" x14ac:dyDescent="0.3">
      <c r="B60" s="152" t="s">
        <v>251</v>
      </c>
      <c r="C60" s="153">
        <v>0</v>
      </c>
      <c r="M60" s="151">
        <f>INGRESOS!C12</f>
        <v>0.83</v>
      </c>
      <c r="O60" s="148"/>
      <c r="P60" s="149">
        <f>GASTOS!T31</f>
        <v>595.00172618226952</v>
      </c>
    </row>
    <row r="61" spans="2:16" ht="15.75" thickBot="1" x14ac:dyDescent="0.3">
      <c r="B61" s="152" t="s">
        <v>252</v>
      </c>
      <c r="C61" s="153">
        <v>0</v>
      </c>
      <c r="L61" s="147" t="s">
        <v>253</v>
      </c>
      <c r="M61" s="150">
        <f>C58</f>
        <v>0</v>
      </c>
      <c r="O61" s="147" t="s">
        <v>253</v>
      </c>
      <c r="P61" s="150">
        <f>C60</f>
        <v>0</v>
      </c>
    </row>
    <row r="62" spans="2:16" ht="15.75" thickBot="1" x14ac:dyDescent="0.3">
      <c r="B62" s="154" t="s">
        <v>254</v>
      </c>
      <c r="C62" s="153">
        <v>0</v>
      </c>
      <c r="L62" s="147" t="s">
        <v>255</v>
      </c>
      <c r="M62" s="148"/>
      <c r="O62" s="147" t="s">
        <v>255</v>
      </c>
      <c r="P62" s="148"/>
    </row>
    <row r="63" spans="2:16" x14ac:dyDescent="0.25">
      <c r="L63" s="147" t="s">
        <v>110</v>
      </c>
      <c r="M63" s="151">
        <f>M60*(1+C58)</f>
        <v>0.83</v>
      </c>
      <c r="O63" s="147" t="s">
        <v>110</v>
      </c>
      <c r="P63" s="149">
        <f>P60*(1+C60)</f>
        <v>595.00172618226952</v>
      </c>
    </row>
    <row r="66" spans="12:16" x14ac:dyDescent="0.25">
      <c r="L66" s="148" t="s">
        <v>256</v>
      </c>
      <c r="M66" s="147" t="s">
        <v>250</v>
      </c>
      <c r="O66" s="148"/>
      <c r="P66" s="147"/>
    </row>
    <row r="67" spans="12:16" x14ac:dyDescent="0.25">
      <c r="L67" s="148"/>
      <c r="M67" s="149">
        <f>GASTOS!T32</f>
        <v>441.74824210671449</v>
      </c>
      <c r="O67" s="148"/>
      <c r="P67" s="149"/>
    </row>
    <row r="68" spans="12:16" x14ac:dyDescent="0.25">
      <c r="L68" s="147" t="s">
        <v>253</v>
      </c>
      <c r="M68" s="150">
        <f>C61</f>
        <v>0</v>
      </c>
      <c r="O68" s="147"/>
      <c r="P68" s="150"/>
    </row>
    <row r="69" spans="12:16" x14ac:dyDescent="0.25">
      <c r="L69" s="147" t="s">
        <v>255</v>
      </c>
      <c r="M69" s="148"/>
      <c r="O69" s="147"/>
      <c r="P69" s="148"/>
    </row>
    <row r="70" spans="12:16" x14ac:dyDescent="0.25">
      <c r="L70" s="147" t="s">
        <v>110</v>
      </c>
      <c r="M70" s="149">
        <f>M67*(1+M68)</f>
        <v>441.74824210671449</v>
      </c>
      <c r="O70" s="147"/>
      <c r="P70" s="149"/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55"/>
  <sheetViews>
    <sheetView zoomScale="60" workbookViewId="0">
      <selection activeCell="J51" sqref="J51"/>
    </sheetView>
  </sheetViews>
  <sheetFormatPr baseColWidth="10" defaultColWidth="11.42578125" defaultRowHeight="15" x14ac:dyDescent="0.25"/>
  <cols>
    <col min="2" max="2" width="34" bestFit="1" customWidth="1"/>
    <col min="3" max="3" width="6.42578125" bestFit="1" customWidth="1"/>
    <col min="4" max="4" width="6.5703125" bestFit="1" customWidth="1"/>
    <col min="5" max="7" width="6.140625" bestFit="1" customWidth="1"/>
    <col min="8" max="8" width="6.5703125" bestFit="1" customWidth="1"/>
  </cols>
  <sheetData>
    <row r="3" spans="2:8" ht="15.75" thickBot="1" x14ac:dyDescent="0.3"/>
    <row r="4" spans="2:8" ht="16.5" thickBot="1" x14ac:dyDescent="0.3">
      <c r="B4" s="197" t="s">
        <v>200</v>
      </c>
      <c r="C4" s="237">
        <v>0.25</v>
      </c>
      <c r="D4" s="238">
        <v>0.125</v>
      </c>
      <c r="E4" s="237">
        <v>0.25</v>
      </c>
      <c r="F4" s="237">
        <v>0.25</v>
      </c>
      <c r="G4" s="237">
        <v>0.25</v>
      </c>
      <c r="H4" s="239">
        <v>0.25</v>
      </c>
    </row>
    <row r="5" spans="2:8" ht="32.25" thickTop="1" x14ac:dyDescent="0.25">
      <c r="B5" s="198"/>
      <c r="C5" s="240" t="s">
        <v>201</v>
      </c>
      <c r="D5" s="240">
        <v>1</v>
      </c>
      <c r="E5" s="240">
        <v>2</v>
      </c>
      <c r="F5" s="240">
        <v>3</v>
      </c>
      <c r="G5" s="240">
        <v>4</v>
      </c>
      <c r="H5" s="241">
        <v>5</v>
      </c>
    </row>
    <row r="6" spans="2:8" ht="15.75" x14ac:dyDescent="0.25">
      <c r="B6" s="242" t="s">
        <v>202</v>
      </c>
      <c r="C6" s="243"/>
      <c r="D6" s="244">
        <f>INGRESOS!C10</f>
        <v>756.95999999999992</v>
      </c>
      <c r="E6" s="244">
        <f>INGRESOS!D10</f>
        <v>2545.8357599999999</v>
      </c>
      <c r="F6" s="244">
        <f>INGRESOS!E10</f>
        <v>5816.8794384000003</v>
      </c>
      <c r="G6" s="244">
        <f>INGRESOS!F10</f>
        <v>8228.0600977766408</v>
      </c>
      <c r="H6" s="245">
        <f>INGRESOS!G10</f>
        <v>10781.002744477702</v>
      </c>
    </row>
    <row r="7" spans="2:8" ht="15.75" x14ac:dyDescent="0.25">
      <c r="B7" s="242" t="s">
        <v>203</v>
      </c>
      <c r="C7" s="246"/>
      <c r="D7" s="247">
        <f>-GASTOS!AA12</f>
        <v>-251.4821453191783</v>
      </c>
      <c r="E7" s="247">
        <f>-GASTOS!AB12</f>
        <v>-355.82870536329796</v>
      </c>
      <c r="F7" s="247">
        <f>-GASTOS!AC12</f>
        <v>-474.24502964290639</v>
      </c>
      <c r="G7" s="247">
        <f>-GASTOS!AD12</f>
        <v>-584.01136081621405</v>
      </c>
      <c r="H7" s="248">
        <f>-GASTOS!AE12</f>
        <v>-791.10194402316279</v>
      </c>
    </row>
    <row r="8" spans="2:8" ht="16.5" thickBot="1" x14ac:dyDescent="0.3">
      <c r="B8" s="249" t="s">
        <v>204</v>
      </c>
      <c r="C8" s="250"/>
      <c r="D8" s="251">
        <f>-GASTOS!T28</f>
        <v>-1036.7499682889841</v>
      </c>
      <c r="E8" s="251">
        <f>-GASTOS!U28</f>
        <v>-1081.483470409486</v>
      </c>
      <c r="F8" s="251">
        <f>-GASTOS!V28</f>
        <v>-1128.1481397709531</v>
      </c>
      <c r="G8" s="251">
        <f>-GASTOS!W28</f>
        <v>-1176.8273892441894</v>
      </c>
      <c r="H8" s="252">
        <f>-GASTOS!X28</f>
        <v>-1227.6082364098274</v>
      </c>
    </row>
    <row r="9" spans="2:8" ht="17.25" thickTop="1" thickBot="1" x14ac:dyDescent="0.3">
      <c r="B9" s="253" t="s">
        <v>205</v>
      </c>
      <c r="C9" s="254"/>
      <c r="D9" s="255">
        <f>SUM(D6:D8)</f>
        <v>-531.2721136081625</v>
      </c>
      <c r="E9" s="255">
        <f>SUM(E6:E8)</f>
        <v>1108.5235842272159</v>
      </c>
      <c r="F9" s="255">
        <f t="shared" ref="F9:G9" si="0">SUM(F6:F8)</f>
        <v>4214.4862689861411</v>
      </c>
      <c r="G9" s="255">
        <f t="shared" si="0"/>
        <v>6467.2213477162377</v>
      </c>
      <c r="H9" s="256">
        <f>SUM(H6:H8)</f>
        <v>8762.292564044712</v>
      </c>
    </row>
    <row r="10" spans="2:8" ht="16.5" thickTop="1" x14ac:dyDescent="0.25">
      <c r="B10" s="257" t="s">
        <v>206</v>
      </c>
      <c r="C10" s="258"/>
      <c r="D10" s="260">
        <f>-DEPRECIACIÓN!H29</f>
        <v>-68.11741348407557</v>
      </c>
      <c r="E10" s="260">
        <f>-DEPRECIACIÓN!I29</f>
        <v>-11.234661519371295</v>
      </c>
      <c r="F10" s="259"/>
      <c r="G10" s="260"/>
      <c r="H10" s="261"/>
    </row>
    <row r="11" spans="2:8" ht="15.75" x14ac:dyDescent="0.25">
      <c r="B11" s="242" t="s">
        <v>207</v>
      </c>
      <c r="C11" s="246"/>
      <c r="D11" s="247">
        <f>-M40</f>
        <v>-30.233664912450017</v>
      </c>
      <c r="E11" s="247">
        <f>-N40</f>
        <v>-24.986791510722281</v>
      </c>
      <c r="F11" s="247">
        <f>-O40</f>
        <v>-19.367390097471873</v>
      </c>
      <c r="G11" s="247">
        <f>-P40</f>
        <v>-13.349011183880689</v>
      </c>
      <c r="H11" s="248">
        <f>-Q40</f>
        <v>-6.9033273674245308</v>
      </c>
    </row>
    <row r="12" spans="2:8" ht="15.75" x14ac:dyDescent="0.25">
      <c r="B12" s="242" t="s">
        <v>208</v>
      </c>
      <c r="C12" s="243"/>
      <c r="D12" s="262"/>
      <c r="E12" s="366">
        <f>-E43</f>
        <v>-44.233000000000288</v>
      </c>
      <c r="F12" s="262"/>
      <c r="G12" s="262"/>
      <c r="H12" s="263"/>
    </row>
    <row r="13" spans="2:8" ht="15.75" x14ac:dyDescent="0.25">
      <c r="B13" s="242" t="s">
        <v>209</v>
      </c>
      <c r="C13" s="246"/>
      <c r="D13" s="264"/>
      <c r="E13" s="247">
        <f>D16</f>
        <v>-629.62319200468801</v>
      </c>
      <c r="F13" s="264"/>
      <c r="G13" s="264"/>
      <c r="H13" s="265"/>
    </row>
    <row r="14" spans="2:8" ht="15.75" x14ac:dyDescent="0.25">
      <c r="B14" s="242" t="s">
        <v>210</v>
      </c>
      <c r="C14" s="243"/>
      <c r="D14" s="262"/>
      <c r="E14" s="262"/>
      <c r="F14" s="262"/>
      <c r="G14" s="262"/>
      <c r="H14" s="263"/>
    </row>
    <row r="15" spans="2:8" ht="16.5" thickBot="1" x14ac:dyDescent="0.3">
      <c r="B15" s="249" t="s">
        <v>211</v>
      </c>
      <c r="C15" s="266"/>
      <c r="D15" s="267"/>
      <c r="E15" s="267"/>
      <c r="F15" s="267"/>
      <c r="G15" s="267"/>
      <c r="H15" s="268"/>
    </row>
    <row r="16" spans="2:8" ht="17.25" thickTop="1" thickBot="1" x14ac:dyDescent="0.3">
      <c r="B16" s="253" t="s">
        <v>212</v>
      </c>
      <c r="C16" s="269"/>
      <c r="D16" s="270">
        <f>SUM(D9:D15)</f>
        <v>-629.62319200468801</v>
      </c>
      <c r="E16" s="270">
        <f>SUM(E9:E15)</f>
        <v>398.44593919243425</v>
      </c>
      <c r="F16" s="270">
        <f>SUM(F9:F15)</f>
        <v>4195.1188788886693</v>
      </c>
      <c r="G16" s="270">
        <f>SUM(G9:G15)</f>
        <v>6453.8723365323567</v>
      </c>
      <c r="H16" s="271">
        <f>SUM(H9:H15)</f>
        <v>8755.389236677287</v>
      </c>
    </row>
    <row r="17" spans="2:8" ht="17.25" thickTop="1" thickBot="1" x14ac:dyDescent="0.3">
      <c r="B17" s="272" t="s">
        <v>213</v>
      </c>
      <c r="C17" s="273"/>
      <c r="D17" s="274"/>
      <c r="E17" s="274">
        <f>-E16*E4</f>
        <v>-99.611484798108563</v>
      </c>
      <c r="F17" s="274">
        <f t="shared" ref="F17:H17" si="1">-F16*F4</f>
        <v>-1048.7797197221673</v>
      </c>
      <c r="G17" s="274">
        <f t="shared" si="1"/>
        <v>-1613.4680841330892</v>
      </c>
      <c r="H17" s="275">
        <f t="shared" si="1"/>
        <v>-2188.8473091693218</v>
      </c>
    </row>
    <row r="18" spans="2:8" ht="17.25" thickTop="1" thickBot="1" x14ac:dyDescent="0.3">
      <c r="B18" s="253" t="s">
        <v>214</v>
      </c>
      <c r="C18" s="276"/>
      <c r="D18" s="277">
        <f>SUM(D16:D17)</f>
        <v>-629.62319200468801</v>
      </c>
      <c r="E18" s="277">
        <f t="shared" ref="E18:G18" si="2">SUM(E16:E17)</f>
        <v>298.83445439432569</v>
      </c>
      <c r="F18" s="277">
        <f t="shared" si="2"/>
        <v>3146.3391591665022</v>
      </c>
      <c r="G18" s="277">
        <f t="shared" si="2"/>
        <v>4840.4042523992675</v>
      </c>
      <c r="H18" s="278">
        <f>SUM(H16:H17)</f>
        <v>6566.5419275079657</v>
      </c>
    </row>
    <row r="19" spans="2:8" ht="16.5" thickTop="1" x14ac:dyDescent="0.25">
      <c r="B19" s="257" t="s">
        <v>206</v>
      </c>
      <c r="C19" s="279"/>
      <c r="D19" s="281">
        <f>-D10</f>
        <v>68.11741348407557</v>
      </c>
      <c r="E19" s="281">
        <f>-E10</f>
        <v>11.234661519371295</v>
      </c>
      <c r="F19" s="280"/>
      <c r="G19" s="281"/>
      <c r="H19" s="282"/>
    </row>
    <row r="20" spans="2:8" ht="15.75" x14ac:dyDescent="0.25">
      <c r="B20" s="242" t="s">
        <v>209</v>
      </c>
      <c r="C20" s="243"/>
      <c r="D20" s="262"/>
      <c r="E20" s="244">
        <f>-E13</f>
        <v>629.62319200468801</v>
      </c>
      <c r="F20" s="262"/>
      <c r="G20" s="262"/>
      <c r="H20" s="263"/>
    </row>
    <row r="21" spans="2:8" ht="15.75" x14ac:dyDescent="0.25">
      <c r="B21" s="242" t="s">
        <v>211</v>
      </c>
      <c r="C21" s="246"/>
      <c r="D21" s="264"/>
      <c r="E21" s="264"/>
      <c r="F21" s="264"/>
      <c r="G21" s="264"/>
      <c r="H21" s="265"/>
    </row>
    <row r="22" spans="2:8" ht="15.75" x14ac:dyDescent="0.25">
      <c r="B22" s="242" t="s">
        <v>215</v>
      </c>
      <c r="C22" s="243"/>
      <c r="D22" s="283">
        <f>-M41</f>
        <v>-73.899625376447005</v>
      </c>
      <c r="E22" s="283">
        <f>-N41</f>
        <v>-79.146498778174731</v>
      </c>
      <c r="F22" s="283">
        <f>-O41</f>
        <v>-84.765900191425146</v>
      </c>
      <c r="G22" s="283">
        <f>-P41</f>
        <v>-90.784279105016324</v>
      </c>
      <c r="H22" s="284">
        <f>-Q41</f>
        <v>-97.229962921472492</v>
      </c>
    </row>
    <row r="23" spans="2:8" ht="15.75" x14ac:dyDescent="0.25">
      <c r="B23" s="242" t="s">
        <v>216</v>
      </c>
      <c r="C23" s="246"/>
      <c r="D23" s="264"/>
      <c r="E23" s="367">
        <f>-E40</f>
        <v>-623</v>
      </c>
      <c r="F23" s="264"/>
      <c r="G23" s="264"/>
      <c r="H23" s="265"/>
    </row>
    <row r="24" spans="2:8" ht="15.75" x14ac:dyDescent="0.25">
      <c r="B24" s="242" t="s">
        <v>217</v>
      </c>
      <c r="C24" s="285">
        <f>-INVERSION!I8</f>
        <v>-144.09797325244728</v>
      </c>
      <c r="D24" s="262"/>
      <c r="E24" s="262"/>
      <c r="F24" s="262"/>
      <c r="G24" s="262"/>
      <c r="H24" s="263"/>
    </row>
    <row r="25" spans="2:8" ht="31.5" x14ac:dyDescent="0.25">
      <c r="B25" s="242" t="s">
        <v>218</v>
      </c>
      <c r="C25" s="286">
        <f>'PROYECTO PURO'!C25</f>
        <v>-142.03322762994623</v>
      </c>
      <c r="D25" s="264"/>
      <c r="E25" s="264"/>
      <c r="F25" s="264"/>
      <c r="G25" s="264"/>
      <c r="H25" s="265"/>
    </row>
    <row r="26" spans="2:8" ht="15.75" x14ac:dyDescent="0.25">
      <c r="B26" s="242" t="s">
        <v>219</v>
      </c>
      <c r="C26" s="287">
        <f>-INVERSION!I9</f>
        <v>-565.52133186267747</v>
      </c>
      <c r="D26" s="262"/>
      <c r="E26" s="262"/>
      <c r="F26" s="262"/>
      <c r="G26" s="262"/>
      <c r="H26" s="263"/>
    </row>
    <row r="27" spans="2:8" ht="15.75" x14ac:dyDescent="0.25">
      <c r="B27" s="242" t="s">
        <v>220</v>
      </c>
      <c r="C27" s="246"/>
      <c r="D27" s="264"/>
      <c r="E27" s="264"/>
      <c r="F27" s="264"/>
      <c r="G27" s="264"/>
      <c r="H27" s="265">
        <f>-C26</f>
        <v>565.52133186267747</v>
      </c>
    </row>
    <row r="28" spans="2:8" ht="15.75" x14ac:dyDescent="0.25">
      <c r="B28" s="242" t="s">
        <v>221</v>
      </c>
      <c r="C28" s="243"/>
      <c r="D28" s="262"/>
      <c r="E28" s="262"/>
      <c r="F28" s="262"/>
      <c r="G28" s="262"/>
      <c r="H28" s="263"/>
    </row>
    <row r="29" spans="2:8" ht="16.5" thickBot="1" x14ac:dyDescent="0.3">
      <c r="B29" s="249" t="s">
        <v>222</v>
      </c>
      <c r="C29" s="266"/>
      <c r="D29" s="288">
        <f>'RECUPERACIÓN DE IVA'!D25</f>
        <v>12.212284343030474</v>
      </c>
      <c r="E29" s="267"/>
      <c r="F29" s="267"/>
      <c r="G29" s="267"/>
      <c r="H29" s="268"/>
    </row>
    <row r="30" spans="2:8" ht="17.25" thickTop="1" thickBot="1" x14ac:dyDescent="0.3">
      <c r="B30" s="253" t="s">
        <v>223</v>
      </c>
      <c r="C30" s="289">
        <f>SUM(C18:C29)</f>
        <v>-851.65253274507097</v>
      </c>
      <c r="D30" s="290">
        <f>SUM(D18:D29)</f>
        <v>-623.19311955402907</v>
      </c>
      <c r="E30" s="290">
        <f>SUM(E18:E29)</f>
        <v>237.54580914021028</v>
      </c>
      <c r="F30" s="290">
        <f t="shared" ref="F30:G30" si="3">SUM(F18:F29)</f>
        <v>3061.5732589750769</v>
      </c>
      <c r="G30" s="290">
        <f t="shared" si="3"/>
        <v>4749.6199732942514</v>
      </c>
      <c r="H30" s="291">
        <f>SUM(H18:H29)</f>
        <v>7034.833296449171</v>
      </c>
    </row>
    <row r="31" spans="2:8" ht="16.5" thickTop="1" x14ac:dyDescent="0.25">
      <c r="B31" s="257" t="s">
        <v>224</v>
      </c>
      <c r="C31" s="279">
        <f>C40</f>
        <v>425.82626637253549</v>
      </c>
      <c r="D31" s="292"/>
      <c r="E31" s="292"/>
      <c r="F31" s="292"/>
      <c r="G31" s="292"/>
      <c r="H31" s="293"/>
    </row>
    <row r="32" spans="2:8" ht="16.5" thickBot="1" x14ac:dyDescent="0.3">
      <c r="B32" s="249" t="s">
        <v>225</v>
      </c>
      <c r="C32" s="250"/>
      <c r="D32" s="294">
        <v>623</v>
      </c>
      <c r="E32" s="294"/>
      <c r="F32" s="294"/>
      <c r="G32" s="294"/>
      <c r="H32" s="295"/>
    </row>
    <row r="33" spans="2:17" ht="17.25" thickTop="1" thickBot="1" x14ac:dyDescent="0.3">
      <c r="B33" s="253" t="s">
        <v>226</v>
      </c>
      <c r="C33" s="296">
        <f>SUM(C30:C32)</f>
        <v>-425.82626637253549</v>
      </c>
      <c r="D33" s="297">
        <f>SUM(D30:D32)</f>
        <v>-0.19311955402906733</v>
      </c>
      <c r="E33" s="297">
        <f>SUM(E30:E32)</f>
        <v>237.54580914021028</v>
      </c>
      <c r="F33" s="297">
        <f>SUM(F30:F32)</f>
        <v>3061.5732589750769</v>
      </c>
      <c r="G33" s="297">
        <f t="shared" ref="G33:H33" si="4">SUM(G30:G32)</f>
        <v>4749.6199732942514</v>
      </c>
      <c r="H33" s="298">
        <f t="shared" si="4"/>
        <v>7034.833296449171</v>
      </c>
    </row>
    <row r="34" spans="2:17" ht="33" thickTop="1" thickBot="1" x14ac:dyDescent="0.3">
      <c r="B34" s="272" t="s">
        <v>227</v>
      </c>
      <c r="C34" s="299">
        <f>C33</f>
        <v>-425.82626637253549</v>
      </c>
      <c r="D34" s="300">
        <f>D33/(1+$C$48)^D5</f>
        <v>-0.17920184290022159</v>
      </c>
      <c r="E34" s="300">
        <f t="shared" ref="E34:H34" si="5">E33/(1+$C$48)^E5</f>
        <v>204.54073696764459</v>
      </c>
      <c r="F34" s="300">
        <f t="shared" si="5"/>
        <v>2446.207656915497</v>
      </c>
      <c r="G34" s="300">
        <f t="shared" si="5"/>
        <v>3521.4680246756348</v>
      </c>
      <c r="H34" s="301">
        <f t="shared" si="5"/>
        <v>4839.8836266561721</v>
      </c>
    </row>
    <row r="35" spans="2:17" ht="33" thickTop="1" thickBot="1" x14ac:dyDescent="0.3">
      <c r="B35" s="302" t="s">
        <v>228</v>
      </c>
      <c r="C35" s="303">
        <f>C34</f>
        <v>-425.82626637253549</v>
      </c>
      <c r="D35" s="304">
        <f>C35+D34</f>
        <v>-426.00546821543571</v>
      </c>
      <c r="E35" s="304">
        <f>D35+E34</f>
        <v>-221.46473124779112</v>
      </c>
      <c r="F35" s="304">
        <f>E35+F34</f>
        <v>2224.742925667706</v>
      </c>
      <c r="G35" s="304">
        <f>F35+G34</f>
        <v>5746.2109503433403</v>
      </c>
      <c r="H35" s="305">
        <f>G35+H34</f>
        <v>10586.094576999512</v>
      </c>
    </row>
    <row r="36" spans="2:17" x14ac:dyDescent="0.25">
      <c r="K36" s="306" t="s">
        <v>257</v>
      </c>
      <c r="L36" s="306"/>
      <c r="M36" s="306"/>
      <c r="N36" s="306"/>
      <c r="O36" s="306"/>
      <c r="P36" s="306"/>
      <c r="Q36" s="306"/>
    </row>
    <row r="37" spans="2:17" x14ac:dyDescent="0.25">
      <c r="K37" s="307" t="s">
        <v>0</v>
      </c>
      <c r="L37" s="308" t="s">
        <v>258</v>
      </c>
      <c r="M37" s="308" t="s">
        <v>259</v>
      </c>
      <c r="N37" s="308" t="s">
        <v>260</v>
      </c>
      <c r="O37" s="308" t="s">
        <v>261</v>
      </c>
      <c r="P37" s="308" t="s">
        <v>262</v>
      </c>
      <c r="Q37" s="309" t="s">
        <v>263</v>
      </c>
    </row>
    <row r="38" spans="2:17" ht="15.75" thickBot="1" x14ac:dyDescent="0.3">
      <c r="K38" s="310" t="s">
        <v>264</v>
      </c>
      <c r="L38" s="311">
        <f>C40</f>
        <v>425.82626637253549</v>
      </c>
      <c r="M38" s="311">
        <f>M42</f>
        <v>351.92664099608851</v>
      </c>
      <c r="N38" s="311">
        <f t="shared" ref="N38:Q38" si="6">N42</f>
        <v>272.78014221791375</v>
      </c>
      <c r="O38" s="311">
        <f t="shared" si="6"/>
        <v>188.0142420264886</v>
      </c>
      <c r="P38" s="311">
        <f t="shared" si="6"/>
        <v>97.229962921472278</v>
      </c>
      <c r="Q38" s="312">
        <f t="shared" si="6"/>
        <v>-2.1316282072803006E-13</v>
      </c>
    </row>
    <row r="39" spans="2:17" ht="16.5" thickBot="1" x14ac:dyDescent="0.3">
      <c r="B39" s="316" t="s">
        <v>265</v>
      </c>
      <c r="C39" s="317">
        <v>0.5</v>
      </c>
      <c r="K39" s="310" t="s">
        <v>266</v>
      </c>
      <c r="L39" s="311"/>
      <c r="M39" s="311">
        <f>$C$43</f>
        <v>104.13329028889702</v>
      </c>
      <c r="N39" s="311">
        <f t="shared" ref="N39:Q39" si="7">$C$43</f>
        <v>104.13329028889702</v>
      </c>
      <c r="O39" s="311">
        <f t="shared" si="7"/>
        <v>104.13329028889702</v>
      </c>
      <c r="P39" s="311">
        <f t="shared" si="7"/>
        <v>104.13329028889702</v>
      </c>
      <c r="Q39" s="312">
        <f t="shared" si="7"/>
        <v>104.13329028889702</v>
      </c>
    </row>
    <row r="40" spans="2:17" ht="16.5" thickBot="1" x14ac:dyDescent="0.3">
      <c r="B40" s="318" t="s">
        <v>267</v>
      </c>
      <c r="C40" s="319">
        <f>-C30*C39</f>
        <v>425.82626637253549</v>
      </c>
      <c r="E40">
        <v>623</v>
      </c>
      <c r="K40" s="310" t="s">
        <v>268</v>
      </c>
      <c r="L40" s="311"/>
      <c r="M40" s="311">
        <f>L38*$C$41</f>
        <v>30.233664912450017</v>
      </c>
      <c r="N40" s="311">
        <f t="shared" ref="N40:Q40" si="8">M38*$C$41</f>
        <v>24.986791510722281</v>
      </c>
      <c r="O40" s="311">
        <f>N38*$C$41</f>
        <v>19.367390097471873</v>
      </c>
      <c r="P40" s="311">
        <f t="shared" si="8"/>
        <v>13.349011183880689</v>
      </c>
      <c r="Q40" s="312">
        <f t="shared" si="8"/>
        <v>6.9033273674245308</v>
      </c>
    </row>
    <row r="41" spans="2:17" ht="16.5" thickBot="1" x14ac:dyDescent="0.3">
      <c r="B41" s="318" t="s">
        <v>269</v>
      </c>
      <c r="C41" s="320">
        <v>7.0999999999999994E-2</v>
      </c>
      <c r="E41" s="24"/>
      <c r="H41" s="330"/>
      <c r="K41" s="310" t="s">
        <v>270</v>
      </c>
      <c r="L41" s="311"/>
      <c r="M41" s="311">
        <f>M39-M40</f>
        <v>73.899625376447005</v>
      </c>
      <c r="N41" s="311">
        <f t="shared" ref="N41:Q41" si="9">N39-N40</f>
        <v>79.146498778174731</v>
      </c>
      <c r="O41" s="311">
        <f>O39-O40</f>
        <v>84.765900191425146</v>
      </c>
      <c r="P41" s="311">
        <f t="shared" si="9"/>
        <v>90.784279105016324</v>
      </c>
      <c r="Q41" s="312">
        <f t="shared" si="9"/>
        <v>97.229962921472492</v>
      </c>
    </row>
    <row r="42" spans="2:17" ht="16.5" thickBot="1" x14ac:dyDescent="0.3">
      <c r="B42" s="318" t="s">
        <v>271</v>
      </c>
      <c r="C42" s="321">
        <v>5</v>
      </c>
      <c r="E42" s="24">
        <f>$E$40*(($C$41*(1+$C$41)^1/((1+$C$41)^1-1)))</f>
        <v>667.23300000000029</v>
      </c>
      <c r="K42" s="313" t="s">
        <v>272</v>
      </c>
      <c r="L42" s="314"/>
      <c r="M42" s="314">
        <f>L38-M41</f>
        <v>351.92664099608851</v>
      </c>
      <c r="N42" s="314">
        <f t="shared" ref="N42:Q42" si="10">M38-N41</f>
        <v>272.78014221791375</v>
      </c>
      <c r="O42" s="314">
        <f>N38-O41</f>
        <v>188.0142420264886</v>
      </c>
      <c r="P42" s="314">
        <f t="shared" si="10"/>
        <v>97.229962921472278</v>
      </c>
      <c r="Q42" s="315">
        <f t="shared" si="10"/>
        <v>-2.1316282072803006E-13</v>
      </c>
    </row>
    <row r="43" spans="2:17" ht="16.5" thickBot="1" x14ac:dyDescent="0.3">
      <c r="B43" s="318" t="s">
        <v>273</v>
      </c>
      <c r="C43" s="322">
        <f>$C$40*(($C$41*(1+$C$41)^$C$42/((1+$C$41)^$C$42-1)))</f>
        <v>104.13329028889702</v>
      </c>
      <c r="E43" s="24">
        <f>E42-E40</f>
        <v>44.233000000000288</v>
      </c>
    </row>
    <row r="44" spans="2:17" ht="16.5" thickBot="1" x14ac:dyDescent="0.3">
      <c r="B44" s="323" t="s">
        <v>274</v>
      </c>
      <c r="C44" s="127">
        <f>100%-C39</f>
        <v>0.5</v>
      </c>
    </row>
    <row r="45" spans="2:17" ht="15.75" thickBot="1" x14ac:dyDescent="0.3">
      <c r="B45" s="36"/>
      <c r="C45" s="37"/>
    </row>
    <row r="46" spans="2:17" ht="16.5" thickBot="1" x14ac:dyDescent="0.3">
      <c r="B46" s="324" t="s">
        <v>238</v>
      </c>
      <c r="C46" s="127">
        <f>C49+(C50-C49)*C51</f>
        <v>5.2080000000000001E-2</v>
      </c>
    </row>
    <row r="47" spans="2:17" ht="16.5" thickBot="1" x14ac:dyDescent="0.3">
      <c r="B47" s="363" t="s">
        <v>275</v>
      </c>
      <c r="C47" s="364">
        <f>'PROYECTO PURO'!C49</f>
        <v>0.10208</v>
      </c>
    </row>
    <row r="48" spans="2:17" ht="16.5" thickBot="1" x14ac:dyDescent="0.3">
      <c r="B48" s="325" t="s">
        <v>276</v>
      </c>
      <c r="C48" s="326">
        <f>C47*C44+(C41*C39*(1-C4))</f>
        <v>7.7664999999999998E-2</v>
      </c>
      <c r="E48" s="88"/>
    </row>
    <row r="49" spans="2:3" ht="16.5" thickBot="1" x14ac:dyDescent="0.3">
      <c r="B49" s="325" t="s">
        <v>244</v>
      </c>
      <c r="C49" s="320">
        <f>'PROYECTO PURO'!C50</f>
        <v>1.41E-2</v>
      </c>
    </row>
    <row r="50" spans="2:3" ht="16.5" thickBot="1" x14ac:dyDescent="0.3">
      <c r="B50" s="325" t="s">
        <v>245</v>
      </c>
      <c r="C50" s="320">
        <f>'[1]FLUJO PURO 5'!C49</f>
        <v>5.6300000000000003E-2</v>
      </c>
    </row>
    <row r="51" spans="2:3" ht="16.5" thickBot="1" x14ac:dyDescent="0.3">
      <c r="B51" s="325" t="s">
        <v>246</v>
      </c>
      <c r="C51" s="321">
        <f>'PROYECTO PURO'!C52</f>
        <v>0.9</v>
      </c>
    </row>
    <row r="52" spans="2:3" ht="15.75" thickBot="1" x14ac:dyDescent="0.3">
      <c r="B52" s="36"/>
      <c r="C52" s="36"/>
    </row>
    <row r="53" spans="2:3" ht="16.5" thickBot="1" x14ac:dyDescent="0.3">
      <c r="B53" s="325" t="s">
        <v>240</v>
      </c>
      <c r="C53" s="327">
        <f>NPV(C48,D33:H33)+C33</f>
        <v>10586.094576999512</v>
      </c>
    </row>
    <row r="54" spans="2:3" ht="16.5" thickBot="1" x14ac:dyDescent="0.3">
      <c r="B54" s="325" t="s">
        <v>232</v>
      </c>
      <c r="C54" s="328">
        <f>IRR(C33:H33)</f>
        <v>1.5027740670816381</v>
      </c>
    </row>
    <row r="55" spans="2:3" ht="16.5" thickBot="1" x14ac:dyDescent="0.3">
      <c r="B55" s="325" t="s">
        <v>233</v>
      </c>
      <c r="C55" s="329">
        <v>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C3F868627F2348A75A99F7727B2383" ma:contentTypeVersion="7" ma:contentTypeDescription="Crear nuevo documento." ma:contentTypeScope="" ma:versionID="c90768cbedef8c8ea31768c8a83be8ee">
  <xsd:schema xmlns:xsd="http://www.w3.org/2001/XMLSchema" xmlns:xs="http://www.w3.org/2001/XMLSchema" xmlns:p="http://schemas.microsoft.com/office/2006/metadata/properties" xmlns:ns3="a720ecb3-be45-43c9-ad01-d7010e591473" xmlns:ns4="1d74c442-9d4f-47a3-9357-501fd049fb12" targetNamespace="http://schemas.microsoft.com/office/2006/metadata/properties" ma:root="true" ma:fieldsID="6f4b2e4c1d9730ecb0faf2784cea38f1" ns3:_="" ns4:_="">
    <xsd:import namespace="a720ecb3-be45-43c9-ad01-d7010e591473"/>
    <xsd:import namespace="1d74c442-9d4f-47a3-9357-501fd049fb1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0ecb3-be45-43c9-ad01-d7010e5914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74c442-9d4f-47a3-9357-501fd049fb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720ecb3-be45-43c9-ad01-d7010e591473" xsi:nil="true"/>
  </documentManagement>
</p:properties>
</file>

<file path=customXml/itemProps1.xml><?xml version="1.0" encoding="utf-8"?>
<ds:datastoreItem xmlns:ds="http://schemas.openxmlformats.org/officeDocument/2006/customXml" ds:itemID="{269DC18F-6A3D-40BE-A4EF-A92C065634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A4D4657-28E9-4DB0-BDF2-512762F5C0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20ecb3-be45-43c9-ad01-d7010e591473"/>
    <ds:schemaRef ds:uri="1d74c442-9d4f-47a3-9357-501fd049fb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373D68-3442-46E1-9D2D-61E7BB4A90AE}">
  <ds:schemaRefs>
    <ds:schemaRef ds:uri="a720ecb3-be45-43c9-ad01-d7010e591473"/>
    <ds:schemaRef ds:uri="http://purl.org/dc/elements/1.1/"/>
    <ds:schemaRef ds:uri="http://schemas.microsoft.com/office/2006/documentManagement/types"/>
    <ds:schemaRef ds:uri="1d74c442-9d4f-47a3-9357-501fd049fb12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Demanda graf</vt:lpstr>
      <vt:lpstr>INVERSION</vt:lpstr>
      <vt:lpstr>CAPITAL DE TRABAJO</vt:lpstr>
      <vt:lpstr>GASTOS</vt:lpstr>
      <vt:lpstr>INGRESOS</vt:lpstr>
      <vt:lpstr>DEPRECIACIÓN</vt:lpstr>
      <vt:lpstr>RECUPERACIÓN DE IVA</vt:lpstr>
      <vt:lpstr>PROYECTO PURO</vt:lpstr>
      <vt:lpstr>PROYECTO FINAN 50</vt:lpstr>
      <vt:lpstr>PROYECTO FINAN 75</vt:lpstr>
      <vt:lpstr>SENSIBILIZACION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karina.castillo.13</dc:creator>
  <cp:keywords/>
  <dc:description/>
  <cp:lastModifiedBy>Marisel Barraza Moyano</cp:lastModifiedBy>
  <cp:revision/>
  <dcterms:created xsi:type="dcterms:W3CDTF">2023-11-02T11:50:04Z</dcterms:created>
  <dcterms:modified xsi:type="dcterms:W3CDTF">2024-07-03T14:58:47Z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0x010100C8C3F868627F2348A75A99F7727B2383</vt:lpwstr>
  </property>
</Properties>
</file>